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mc:AlternateContent xmlns:mc="http://schemas.openxmlformats.org/markup-compatibility/2006">
    <mc:Choice Requires="x15">
      <x15ac:absPath xmlns:x15ac="http://schemas.microsoft.com/office/spreadsheetml/2010/11/ac" url="J:\sarrabia_c\Baromètre index\"/>
    </mc:Choice>
  </mc:AlternateContent>
  <xr:revisionPtr revIDLastSave="0" documentId="13_ncr:1_{F81748DC-F681-4F86-B74E-96FBC2F14F3B}" xr6:coauthVersionLast="47" xr6:coauthVersionMax="47" xr10:uidLastSave="{00000000-0000-0000-0000-000000000000}"/>
  <bookViews>
    <workbookView xWindow="-120" yWindow="-120" windowWidth="24240" windowHeight="13140" tabRatio="741" firstSheet="16" activeTab="16" xr2:uid="{7E976532-64F5-42FA-9523-F4365B3C21F7}"/>
  </bookViews>
  <sheets>
    <sheet name="A MODIFIER" sheetId="15" state="hidden" r:id="rId1"/>
    <sheet name="INDEX" sheetId="1" state="hidden" r:id="rId2"/>
    <sheet name="GAZOLE ROUTIER HTT" sheetId="8" state="hidden" r:id="rId3"/>
    <sheet name="FIOUL LOURD" sheetId="7" state="hidden" r:id="rId4"/>
    <sheet name="INDICES PRIX" sheetId="6"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4" hidden="1">'INDICES PRIX'!$M$63:$N$117</definedName>
    <definedName name="compo_index">'COMPOSITION INDEX'!$A$1:$AR$26</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INDEX!$A$1:$X$126</definedName>
    <definedName name="index_choisi">'DONNEES DATE A DATE'!$C$1</definedName>
    <definedName name="INDEX2">'CUMULS INDEX'!$A$4:$X$4</definedName>
    <definedName name="indice_compo_max">'DONNEES DATE A DATE'!$G$14</definedName>
    <definedName name="indice_compo_max2">'DONNEES DATE A DATE'!$H$14</definedName>
    <definedName name="INDICES">'INDICES PRIX'!$A$1:$AP$92</definedName>
    <definedName name="nomsindex">'NOMS INDEX'!$A$1:$A$23</definedName>
    <definedName name="nomsindextp">'NOMS INDEX'!$A$2:$A$23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 i="6" l="1"/>
  <c r="E3" i="1"/>
  <c r="G12" i="20"/>
  <c r="G12" i="18"/>
  <c r="C50" i="8"/>
  <c r="C48" i="8"/>
  <c r="C61" i="8"/>
  <c r="C34" i="8" l="1"/>
  <c r="C29" i="8"/>
  <c r="E11" i="28" l="1"/>
  <c r="K63" i="6" l="1"/>
  <c r="C59" i="7"/>
  <c r="C60" i="7" s="1"/>
  <c r="C60" i="8"/>
  <c r="C59" i="8" l="1"/>
  <c r="A27" i="8"/>
  <c r="A27" i="1" l="1"/>
  <c r="H1" i="8"/>
  <c r="E1" i="7"/>
  <c r="K62" i="6"/>
  <c r="C58" i="8"/>
  <c r="E6" i="28"/>
  <c r="E3" i="28"/>
  <c r="L15" i="21" a="1"/>
  <c r="L15" i="21"/>
  <c r="I31" i="20"/>
  <c r="K15" i="19" a="1"/>
  <c r="K15" i="19"/>
  <c r="K15" i="16" a="1"/>
  <c r="K15" i="16"/>
  <c r="K60" i="6"/>
  <c r="K61" i="6"/>
  <c r="C56" i="8"/>
  <c r="C57" i="8"/>
  <c r="C55" i="8"/>
  <c r="B4" i="28" l="1"/>
  <c r="A8" i="29"/>
  <c r="B18" i="28"/>
  <c r="B17" i="28"/>
  <c r="B13" i="28"/>
  <c r="B9" i="28"/>
  <c r="B7" i="28"/>
  <c r="B5" i="28"/>
  <c r="A16" i="19"/>
  <c r="A8" i="30"/>
  <c r="C3" i="1"/>
  <c r="D3" i="1"/>
  <c r="F3" i="1"/>
  <c r="G3" i="1"/>
  <c r="H3" i="1"/>
  <c r="I3" i="1"/>
  <c r="J3" i="1"/>
  <c r="K3" i="1"/>
  <c r="L3" i="1"/>
  <c r="M3" i="1"/>
  <c r="N3" i="1"/>
  <c r="O3" i="1"/>
  <c r="P3" i="1"/>
  <c r="Q3" i="1"/>
  <c r="R3" i="1"/>
  <c r="S3" i="1"/>
  <c r="T3" i="1"/>
  <c r="U3" i="1"/>
  <c r="V3" i="1"/>
  <c r="W3" i="1"/>
  <c r="X3" i="1"/>
  <c r="B3" i="1"/>
  <c r="A5" i="1"/>
  <c r="A6" i="1"/>
  <c r="A7" i="1"/>
  <c r="A8" i="1"/>
  <c r="A9" i="1"/>
  <c r="A10" i="1"/>
  <c r="A11" i="1"/>
  <c r="A12" i="1"/>
  <c r="A13" i="1"/>
  <c r="A14" i="1"/>
  <c r="A15" i="1"/>
  <c r="A16" i="1"/>
  <c r="A17" i="1"/>
  <c r="A18" i="1"/>
  <c r="A19" i="1"/>
  <c r="A20" i="1"/>
  <c r="A21" i="1"/>
  <c r="A22" i="1"/>
  <c r="A23" i="1"/>
  <c r="A17" i="19" l="1"/>
  <c r="B24" i="28"/>
  <c r="B23" i="28"/>
  <c r="B22" i="28"/>
  <c r="B20" i="28"/>
  <c r="B16" i="28"/>
  <c r="B15" i="28"/>
  <c r="B8" i="28"/>
  <c r="A14" i="30"/>
  <c r="B87" i="27"/>
  <c r="D61" i="31"/>
  <c r="C61" i="31"/>
  <c r="E18" i="15"/>
  <c r="A159" i="3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J2" i="4" s="1" a="1"/>
  <c r="J2" i="4" s="1"/>
  <c r="A12" i="30"/>
  <c r="E4" i="28"/>
  <c r="E5" i="28"/>
  <c r="E7" i="28"/>
  <c r="E8" i="28"/>
  <c r="E9" i="28"/>
  <c r="E10" i="28"/>
  <c r="E12" i="28"/>
  <c r="E13" i="28"/>
  <c r="E14" i="28"/>
  <c r="E15" i="28"/>
  <c r="E16" i="28"/>
  <c r="E17" i="28"/>
  <c r="E18" i="28"/>
  <c r="E19" i="28"/>
  <c r="E20" i="28"/>
  <c r="E21" i="28"/>
  <c r="E22" i="28"/>
  <c r="E23" i="28"/>
  <c r="E24" i="28"/>
  <c r="E25" i="28"/>
  <c r="E26" i="28"/>
  <c r="E27" i="28"/>
  <c r="E28" i="28"/>
  <c r="E29" i="28"/>
  <c r="E30" i="28"/>
  <c r="E31" i="28"/>
  <c r="E32" i="28"/>
  <c r="E33" i="28"/>
  <c r="E34" i="28"/>
  <c r="E35" i="28"/>
  <c r="E36" i="28"/>
  <c r="E37" i="28"/>
  <c r="E38" i="28"/>
  <c r="E39" i="28"/>
  <c r="E40" i="28"/>
  <c r="E41" i="28"/>
  <c r="E42" i="28"/>
  <c r="E43" i="28"/>
  <c r="B6" i="28"/>
  <c r="B10" i="28"/>
  <c r="B11" i="28"/>
  <c r="B12" i="28"/>
  <c r="B14" i="28"/>
  <c r="B19" i="28"/>
  <c r="B21" i="28"/>
  <c r="B25" i="28"/>
  <c r="B3" i="28"/>
  <c r="A20" i="19" l="1"/>
  <c r="A6" i="15"/>
  <c r="K2" i="13" s="1"/>
  <c r="A5" i="15"/>
  <c r="A16" i="16"/>
  <c r="A21" i="19" l="1"/>
  <c r="A53" i="30"/>
  <c r="A21" i="30"/>
  <c r="A2" i="13"/>
  <c r="A17" i="16"/>
  <c r="D7" i="5"/>
  <c r="C7" i="5"/>
  <c r="C7" i="12"/>
  <c r="B7" i="12"/>
  <c r="I2" i="3" a="1"/>
  <c r="I2" i="3" s="1"/>
  <c r="A10" i="15"/>
  <c r="A9" i="15"/>
  <c r="B4" i="15"/>
  <c r="A3" i="2" a="1"/>
  <c r="A3" i="2"/>
  <c r="A3" i="5" a="1"/>
  <c r="A3" i="5"/>
  <c r="I35" i="3" a="1"/>
  <c r="I35" i="3"/>
  <c r="D39" i="3"/>
  <c r="E39" i="3"/>
  <c r="L39" i="3"/>
  <c r="M39" i="3"/>
  <c r="J37" i="4" a="1"/>
  <c r="J37" i="4"/>
  <c r="D84" i="4" a="1"/>
  <c r="D84" i="4"/>
  <c r="D26" i="20"/>
  <c r="A30" i="20"/>
  <c r="A22" i="19" l="1"/>
  <c r="A1" i="2"/>
  <c r="A18" i="16"/>
  <c r="A1" i="18"/>
  <c r="A1" i="10"/>
  <c r="C83" i="3"/>
  <c r="C32" i="3"/>
  <c r="M6" i="3"/>
  <c r="E6" i="3"/>
  <c r="C82" i="3"/>
  <c r="C31"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B60" i="21" a="1"/>
  <c r="B60" i="21" s="1"/>
  <c r="A62" i="21" l="1"/>
  <c r="B61" i="21" a="1"/>
  <c r="B61" i="21" s="1"/>
  <c r="A63" i="21" l="1"/>
  <c r="B62" i="21" a="1"/>
  <c r="B62" i="21" s="1"/>
  <c r="A64" i="21" l="1"/>
  <c r="B63" i="21" a="1"/>
  <c r="B63" i="21" s="1"/>
  <c r="A65" i="21" l="1"/>
  <c r="B64" i="21" a="1"/>
  <c r="B64" i="21" s="1"/>
  <c r="A66" i="21" l="1"/>
  <c r="B65" i="21" a="1"/>
  <c r="B65" i="21" s="1"/>
  <c r="A67" i="21" l="1"/>
  <c r="B66" i="21" a="1"/>
  <c r="B66" i="21" s="1"/>
  <c r="A68" i="21" l="1"/>
  <c r="B67" i="21" a="1"/>
  <c r="B67" i="21" s="1"/>
  <c r="A69" i="21" l="1"/>
  <c r="B68" i="21" a="1"/>
  <c r="B68" i="21" s="1"/>
  <c r="A70" i="21" l="1"/>
  <c r="B69" i="21" a="1"/>
  <c r="B69" i="21" s="1"/>
  <c r="A71" i="21" l="1"/>
  <c r="B70" i="21" a="1"/>
  <c r="B70" i="21" s="1"/>
  <c r="A72" i="21" l="1"/>
  <c r="B71" i="21" a="1"/>
  <c r="B71" i="21" s="1"/>
  <c r="D25" i="20"/>
  <c r="D24" i="20"/>
  <c r="D23" i="20"/>
  <c r="D22" i="20"/>
  <c r="D21" i="20"/>
  <c r="D21" i="18"/>
  <c r="D20" i="20"/>
  <c r="G8" i="20"/>
  <c r="G31" i="20"/>
  <c r="B20" i="20"/>
  <c r="A17" i="15"/>
  <c r="A16" i="15"/>
  <c r="C1" i="21"/>
  <c r="C71" i="21" s="1" a="1"/>
  <c r="C71" i="21" s="1"/>
  <c r="C14" i="21"/>
  <c r="A7" i="6"/>
  <c r="A4" i="7"/>
  <c r="A5" i="7"/>
  <c r="A6" i="7"/>
  <c r="A7" i="7"/>
  <c r="A8" i="7"/>
  <c r="A9" i="7"/>
  <c r="A10" i="7"/>
  <c r="A11" i="7"/>
  <c r="A12" i="7"/>
  <c r="A13" i="7"/>
  <c r="A14" i="7"/>
  <c r="A15" i="7"/>
  <c r="A16" i="7"/>
  <c r="A17" i="7"/>
  <c r="A18" i="7"/>
  <c r="A19" i="7"/>
  <c r="A20" i="7"/>
  <c r="A21" i="7"/>
  <c r="A22" i="7"/>
  <c r="A23" i="7"/>
  <c r="A24" i="7"/>
  <c r="A25" i="7"/>
  <c r="A26"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8"/>
  <c r="A5" i="8"/>
  <c r="A6" i="8"/>
  <c r="A7" i="8"/>
  <c r="A8" i="8"/>
  <c r="A9" i="8"/>
  <c r="A10" i="8"/>
  <c r="A11" i="8"/>
  <c r="A12" i="8"/>
  <c r="A13" i="8"/>
  <c r="A14" i="8"/>
  <c r="A15" i="8"/>
  <c r="A16" i="8"/>
  <c r="A17" i="8"/>
  <c r="A18" i="8"/>
  <c r="A19" i="8"/>
  <c r="A20" i="8"/>
  <c r="A21" i="8"/>
  <c r="A22" i="8"/>
  <c r="A23" i="8"/>
  <c r="A24" i="8"/>
  <c r="A25" i="8"/>
  <c r="A26"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s="1"/>
  <c r="A79" i="8" s="1"/>
  <c r="A80" i="8" s="1"/>
  <c r="A81" i="8" s="1"/>
  <c r="A82" i="8" s="1"/>
  <c r="A83" i="8" s="1"/>
  <c r="A84" i="8" s="1"/>
  <c r="A85" i="8" s="1"/>
  <c r="A86" i="8" s="1"/>
  <c r="A87" i="8" s="1"/>
  <c r="A88" i="8" s="1"/>
  <c r="A3" i="8"/>
  <c r="E2" i="21"/>
  <c r="E1" i="21"/>
  <c r="K6" i="20"/>
  <c r="D3" i="20"/>
  <c r="G10" i="20"/>
  <c r="A6" i="20"/>
  <c r="D26" i="18"/>
  <c r="D25" i="18"/>
  <c r="D24" i="18"/>
  <c r="D23" i="18"/>
  <c r="D22" i="18"/>
  <c r="C1" i="19"/>
  <c r="C14" i="19"/>
  <c r="I8" i="18"/>
  <c r="H8" i="18"/>
  <c r="F15" i="19"/>
  <c r="E15" i="19"/>
  <c r="D15" i="19"/>
  <c r="H31" i="18"/>
  <c r="G31" i="18"/>
  <c r="F19" i="18"/>
  <c r="C20" i="18"/>
  <c r="B20" i="18"/>
  <c r="C65" i="21" l="1" a="1"/>
  <c r="C65" i="21" s="1"/>
  <c r="C66" i="21" a="1"/>
  <c r="C66" i="21" s="1"/>
  <c r="C67" i="21" a="1"/>
  <c r="C67" i="21" s="1"/>
  <c r="C68" i="21" a="1"/>
  <c r="C68" i="21" s="1"/>
  <c r="C69" i="21" a="1"/>
  <c r="C69" i="21" s="1"/>
  <c r="C70" i="21" a="1"/>
  <c r="C70" i="21" s="1"/>
  <c r="A8" i="6"/>
  <c r="C60" i="21" a="1"/>
  <c r="C60" i="21" s="1"/>
  <c r="C61" i="21" a="1"/>
  <c r="C61" i="21" s="1"/>
  <c r="C62" i="21" a="1"/>
  <c r="C62" i="21" s="1"/>
  <c r="C63" i="21" a="1"/>
  <c r="C63" i="21" s="1"/>
  <c r="C64" i="21" a="1"/>
  <c r="C64" i="21" s="1"/>
  <c r="M15" i="21" a="1"/>
  <c r="M15" i="21" s="1"/>
  <c r="A38" i="23"/>
  <c r="A6" i="23"/>
  <c r="D27" i="20"/>
  <c r="A73" i="21"/>
  <c r="C72" i="21" a="1"/>
  <c r="C72" i="21" s="1"/>
  <c r="B72" i="21" a="1"/>
  <c r="B72" i="21" s="1"/>
  <c r="E19" i="20"/>
  <c r="N15" i="21" a="1"/>
  <c r="M14" i="21"/>
  <c r="N15" i="21"/>
  <c r="C2" i="21"/>
  <c r="A4" i="21"/>
  <c r="L14" i="19"/>
  <c r="A4" i="19"/>
  <c r="C2" i="19"/>
  <c r="I47" i="20" l="1"/>
  <c r="I48" i="20"/>
  <c r="A49" i="20"/>
  <c r="A47" i="20"/>
  <c r="A48" i="20"/>
  <c r="A9" i="6"/>
  <c r="G58" i="20"/>
  <c r="G57" i="20"/>
  <c r="G56" i="20"/>
  <c r="G55" i="20"/>
  <c r="G54" i="20"/>
  <c r="G53" i="20"/>
  <c r="G52" i="20"/>
  <c r="G51" i="20"/>
  <c r="G50" i="20"/>
  <c r="G49" i="20"/>
  <c r="G48" i="20"/>
  <c r="G47" i="20"/>
  <c r="G46" i="20"/>
  <c r="G45" i="20"/>
  <c r="G44" i="20"/>
  <c r="A24" i="1"/>
  <c r="A46" i="20"/>
  <c r="A42" i="20"/>
  <c r="A43" i="20"/>
  <c r="A44" i="20"/>
  <c r="A45" i="20"/>
  <c r="A32" i="20"/>
  <c r="A33" i="20"/>
  <c r="A34" i="20"/>
  <c r="A35" i="20"/>
  <c r="A36" i="20"/>
  <c r="A37" i="20"/>
  <c r="A38" i="20"/>
  <c r="A39" i="20"/>
  <c r="A40" i="20"/>
  <c r="A41" i="20"/>
  <c r="H73" i="21" a="1"/>
  <c r="H73" i="21" s="1"/>
  <c r="G73" i="21" a="1"/>
  <c r="G73" i="21" s="1"/>
  <c r="F73" i="21" a="1"/>
  <c r="F73" i="21" s="1"/>
  <c r="E73" i="21" a="1"/>
  <c r="E73" i="21" s="1"/>
  <c r="D73" i="21" a="1"/>
  <c r="D73" i="21" s="1"/>
  <c r="A74" i="21"/>
  <c r="C73" i="21" a="1"/>
  <c r="C73" i="21" s="1"/>
  <c r="B73" i="21" a="1"/>
  <c r="B73" i="21" s="1"/>
  <c r="I33" i="20"/>
  <c r="I34" i="20"/>
  <c r="I35" i="20"/>
  <c r="I36" i="20"/>
  <c r="I37" i="20"/>
  <c r="I38" i="20"/>
  <c r="I39" i="20"/>
  <c r="I40" i="20"/>
  <c r="I41" i="20"/>
  <c r="I42" i="20"/>
  <c r="I43" i="20"/>
  <c r="I44" i="20"/>
  <c r="I45" i="20"/>
  <c r="I46" i="20"/>
  <c r="I32" i="20"/>
  <c r="G14" i="21"/>
  <c r="L15" i="19" a="1"/>
  <c r="L15" i="19" s="1"/>
  <c r="M15" i="19" s="1" a="1"/>
  <c r="I33" i="18"/>
  <c r="I34" i="18"/>
  <c r="I35" i="18"/>
  <c r="I36" i="18"/>
  <c r="I37" i="18"/>
  <c r="I38" i="18"/>
  <c r="I39" i="18"/>
  <c r="I40" i="18"/>
  <c r="I41" i="18"/>
  <c r="I42" i="18"/>
  <c r="I43" i="18"/>
  <c r="I32" i="18"/>
  <c r="A44" i="18"/>
  <c r="A43" i="18"/>
  <c r="A33" i="18"/>
  <c r="A34" i="18"/>
  <c r="A35" i="18"/>
  <c r="A36" i="18"/>
  <c r="A37" i="18"/>
  <c r="A38" i="18"/>
  <c r="A39" i="18"/>
  <c r="A40" i="18"/>
  <c r="A41" i="18"/>
  <c r="A42" i="18"/>
  <c r="M15" i="19"/>
  <c r="A10" i="6" l="1"/>
  <c r="A25" i="1"/>
  <c r="H74" i="21" a="1"/>
  <c r="H74" i="21" s="1"/>
  <c r="G74" i="21" a="1"/>
  <c r="G74" i="21" s="1"/>
  <c r="F74" i="21" a="1"/>
  <c r="F74" i="21" s="1"/>
  <c r="E74" i="21" a="1"/>
  <c r="E74" i="21" s="1"/>
  <c r="D74" i="21" a="1"/>
  <c r="D74" i="21" s="1"/>
  <c r="A75" i="21"/>
  <c r="C74" i="21" a="1"/>
  <c r="C74" i="21" s="1"/>
  <c r="B74" i="21" a="1"/>
  <c r="B74" i="21" s="1"/>
  <c r="G15" i="21"/>
  <c r="H14" i="21"/>
  <c r="A32" i="18"/>
  <c r="G14" i="19"/>
  <c r="H14" i="19"/>
  <c r="H15" i="19"/>
  <c r="G15" i="19"/>
  <c r="A11" i="6" l="1"/>
  <c r="A26" i="1"/>
  <c r="H15" i="21"/>
  <c r="H75" i="21" a="1"/>
  <c r="H75" i="21" s="1"/>
  <c r="G75" i="21" a="1"/>
  <c r="G75" i="21" s="1"/>
  <c r="F75" i="21" a="1"/>
  <c r="F75" i="21" s="1"/>
  <c r="E75" i="21" a="1"/>
  <c r="E75" i="21" s="1"/>
  <c r="D75" i="21" a="1"/>
  <c r="D75" i="21" s="1"/>
  <c r="A76" i="21"/>
  <c r="C75" i="21" a="1"/>
  <c r="C75" i="21" s="1"/>
  <c r="B75" i="21" a="1"/>
  <c r="B75" i="21" s="1"/>
  <c r="K2" i="18"/>
  <c r="A2" i="18"/>
  <c r="A30" i="18"/>
  <c r="A29" i="18"/>
  <c r="D27" i="18"/>
  <c r="D20" i="18"/>
  <c r="G10" i="18"/>
  <c r="K6" i="18"/>
  <c r="A6" i="18"/>
  <c r="F4" i="18"/>
  <c r="I8" i="13"/>
  <c r="H8" i="13"/>
  <c r="B20" i="13"/>
  <c r="C20" i="13"/>
  <c r="F19" i="13"/>
  <c r="H31" i="13"/>
  <c r="G31" i="13"/>
  <c r="D7" i="2"/>
  <c r="C7" i="2"/>
  <c r="D10" i="10"/>
  <c r="C10" i="10"/>
  <c r="A12" i="6" l="1"/>
  <c r="H76" i="21" a="1"/>
  <c r="H76" i="21" s="1"/>
  <c r="G76" i="21" a="1"/>
  <c r="G76" i="21" s="1"/>
  <c r="F76" i="21" a="1"/>
  <c r="F76" i="21" s="1"/>
  <c r="E76" i="21" a="1"/>
  <c r="E76" i="21" s="1"/>
  <c r="D76" i="21" a="1"/>
  <c r="D76" i="21" s="1"/>
  <c r="A77" i="21"/>
  <c r="C76" i="21" a="1"/>
  <c r="C76" i="21" s="1"/>
  <c r="B76" i="21" a="1"/>
  <c r="B76" i="21" s="1"/>
  <c r="D26" i="13"/>
  <c r="D25" i="13"/>
  <c r="D24" i="13"/>
  <c r="D23" i="13"/>
  <c r="D22" i="13"/>
  <c r="D21" i="13"/>
  <c r="C1" i="16"/>
  <c r="C14" i="16"/>
  <c r="F4" i="13"/>
  <c r="E15" i="16"/>
  <c r="F15" i="16"/>
  <c r="D15" i="16"/>
  <c r="C26" i="17"/>
  <c r="C25" i="17"/>
  <c r="C24" i="17"/>
  <c r="C23" i="17"/>
  <c r="C22" i="17"/>
  <c r="C21" i="17"/>
  <c r="C20" i="17"/>
  <c r="C19" i="17"/>
  <c r="C18" i="17"/>
  <c r="C17" i="17"/>
  <c r="C16" i="17"/>
  <c r="C15" i="17"/>
  <c r="C14" i="17"/>
  <c r="C13" i="17"/>
  <c r="C12" i="17"/>
  <c r="C11" i="17"/>
  <c r="C10" i="17"/>
  <c r="C9" i="17"/>
  <c r="C8" i="17"/>
  <c r="C7" i="17"/>
  <c r="C6" i="17"/>
  <c r="C5" i="17"/>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10" i="16" a="1"/>
  <c r="C10" i="16" s="1"/>
  <c r="C9" i="16" a="1"/>
  <c r="C9" i="16" s="1"/>
  <c r="C8" i="16" a="1"/>
  <c r="C8" i="16" s="1"/>
  <c r="C7" i="16" a="1"/>
  <c r="C7" i="16" s="1"/>
  <c r="C6" i="16" a="1"/>
  <c r="C6" i="16" s="1"/>
  <c r="L14" i="16"/>
  <c r="L15" i="16" s="1" a="1"/>
  <c r="L15" i="16" s="1"/>
  <c r="C2" i="16"/>
  <c r="H77" i="21" a="1"/>
  <c r="H77" i="21" s="1"/>
  <c r="G77" i="21" a="1"/>
  <c r="G77" i="21" s="1"/>
  <c r="F77" i="21" a="1"/>
  <c r="F77" i="21" s="1"/>
  <c r="E77" i="21" a="1"/>
  <c r="E77" i="21" s="1"/>
  <c r="D77" i="21" a="1"/>
  <c r="D77" i="21" s="1"/>
  <c r="A78" i="21"/>
  <c r="C77" i="21" a="1"/>
  <c r="C77" i="21" s="1"/>
  <c r="B77" i="21" a="1"/>
  <c r="B77" i="21" s="1"/>
  <c r="A4" i="16"/>
  <c r="A1" i="13"/>
  <c r="A30" i="13"/>
  <c r="A29" i="13"/>
  <c r="D20" i="13"/>
  <c r="G12" i="13"/>
  <c r="G10" i="13"/>
  <c r="K6" i="13"/>
  <c r="A6" i="13"/>
  <c r="A14" i="6" l="1"/>
  <c r="A29" i="1"/>
  <c r="H78" i="21" a="1"/>
  <c r="H78" i="21" s="1"/>
  <c r="G78" i="21" a="1"/>
  <c r="G78" i="21" s="1"/>
  <c r="F78" i="21" a="1"/>
  <c r="F78" i="21" s="1"/>
  <c r="E78" i="21" a="1"/>
  <c r="E78" i="21" s="1"/>
  <c r="D78" i="21" a="1"/>
  <c r="D78" i="21" s="1"/>
  <c r="A79" i="21"/>
  <c r="C78" i="21" a="1"/>
  <c r="C78" i="21" s="1"/>
  <c r="B78" i="21" a="1"/>
  <c r="B78" i="21" s="1"/>
  <c r="D27" i="13"/>
  <c r="A15" i="6" l="1"/>
  <c r="A30" i="1"/>
  <c r="H79" i="21" a="1"/>
  <c r="H79" i="21" s="1"/>
  <c r="G79" i="21" a="1"/>
  <c r="G79" i="21" s="1"/>
  <c r="F79" i="21" a="1"/>
  <c r="F79" i="21" s="1"/>
  <c r="E79" i="21" a="1"/>
  <c r="E79" i="21" s="1"/>
  <c r="D79" i="21" a="1"/>
  <c r="D79" i="21" s="1"/>
  <c r="A80" i="21"/>
  <c r="C79" i="21" a="1"/>
  <c r="C79" i="21" s="1"/>
  <c r="B79" i="21" a="1"/>
  <c r="B79" i="21" s="1"/>
  <c r="A16" i="6" l="1"/>
  <c r="A31" i="1"/>
  <c r="H80" i="21" a="1"/>
  <c r="H80" i="21" s="1"/>
  <c r="G80" i="21" a="1"/>
  <c r="G80" i="21" s="1"/>
  <c r="F80" i="21" a="1"/>
  <c r="F80" i="21" s="1"/>
  <c r="E80" i="21" a="1"/>
  <c r="E80" i="21" s="1"/>
  <c r="D80" i="21" a="1"/>
  <c r="D80" i="21" s="1"/>
  <c r="A81" i="21"/>
  <c r="C80" i="21" a="1"/>
  <c r="C80" i="21" s="1"/>
  <c r="B80" i="21" a="1"/>
  <c r="B80" i="21" s="1"/>
  <c r="K56" i="6"/>
  <c r="K57" i="6"/>
  <c r="K58" i="6"/>
  <c r="K59" i="6"/>
  <c r="K55" i="6"/>
  <c r="C53" i="8"/>
  <c r="C54" i="8"/>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30" i="8" s="1"/>
  <c r="C31" i="8" s="1"/>
  <c r="C32" i="8" s="1"/>
  <c r="C33" i="8" s="1"/>
  <c r="C35" i="8" s="1"/>
  <c r="C36" i="8" s="1"/>
  <c r="C37" i="8" s="1"/>
  <c r="C38" i="8" s="1"/>
  <c r="C39" i="8" s="1"/>
  <c r="C40" i="8" s="1"/>
  <c r="C41" i="8" s="1"/>
  <c r="C42" i="8" s="1"/>
  <c r="C43" i="8" s="1"/>
  <c r="C44" i="8" s="1"/>
  <c r="C45" i="8" s="1"/>
  <c r="C46" i="8" s="1"/>
  <c r="C47" i="8" s="1"/>
  <c r="C49" i="8" s="1"/>
  <c r="C51" i="8" s="1"/>
  <c r="C52" i="8" s="1"/>
  <c r="A17" i="6" l="1"/>
  <c r="A32" i="1"/>
  <c r="H81" i="21" a="1"/>
  <c r="H81" i="21" s="1"/>
  <c r="G81" i="21" a="1"/>
  <c r="G81" i="21" s="1"/>
  <c r="F81" i="21" a="1"/>
  <c r="F81" i="21" s="1"/>
  <c r="E81" i="21" a="1"/>
  <c r="E81" i="21" s="1"/>
  <c r="D81" i="21" a="1"/>
  <c r="D81" i="21" s="1"/>
  <c r="A82" i="21"/>
  <c r="C81" i="21" a="1"/>
  <c r="C81" i="21" s="1"/>
  <c r="B81" i="21" a="1"/>
  <c r="B81" i="21" s="1"/>
  <c r="A18" i="6" l="1"/>
  <c r="A33" i="1"/>
  <c r="H82" i="21" a="1"/>
  <c r="H82" i="21" s="1"/>
  <c r="G82" i="21" a="1"/>
  <c r="G82" i="21" s="1"/>
  <c r="F82" i="21" a="1"/>
  <c r="F82" i="21" s="1"/>
  <c r="E82" i="21" a="1"/>
  <c r="E82" i="21" s="1"/>
  <c r="D82" i="21" a="1"/>
  <c r="D82" i="21" s="1"/>
  <c r="A83" i="21"/>
  <c r="C82" i="21" a="1"/>
  <c r="C82" i="21" s="1"/>
  <c r="B82" i="21" a="1"/>
  <c r="B82" i="21" s="1"/>
  <c r="C35" i="7"/>
  <c r="C29" i="7"/>
  <c r="C30" i="7"/>
  <c r="C31" i="7" s="1"/>
  <c r="C32" i="7" s="1"/>
  <c r="C33" i="7" s="1"/>
  <c r="C34" i="7" s="1"/>
  <c r="C4" i="7"/>
  <c r="C5" i="7"/>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3" i="7"/>
  <c r="D54" i="6"/>
  <c r="C51" i="6"/>
  <c r="A19" i="6" l="1"/>
  <c r="A34" i="1"/>
  <c r="A204" i="27" a="1"/>
  <c r="H83" i="21" a="1"/>
  <c r="H83" i="21" s="1"/>
  <c r="G83" i="21" a="1"/>
  <c r="G83" i="21" s="1"/>
  <c r="F83" i="21" a="1"/>
  <c r="F83" i="21" s="1"/>
  <c r="E83" i="21" a="1"/>
  <c r="E83" i="21" s="1"/>
  <c r="D83" i="21" a="1"/>
  <c r="D83" i="21" s="1"/>
  <c r="A84" i="21"/>
  <c r="C83" i="21" a="1"/>
  <c r="C83" i="21" s="1"/>
  <c r="B83" i="21" a="1"/>
  <c r="B83" i="21" s="1"/>
  <c r="C36" i="7"/>
  <c r="A204" i="27" l="1"/>
  <c r="A20" i="6"/>
  <c r="C37" i="7"/>
  <c r="A35" i="1"/>
  <c r="H84" i="21" a="1"/>
  <c r="H84" i="21" s="1"/>
  <c r="G84" i="21" a="1"/>
  <c r="G84" i="21" s="1"/>
  <c r="F84" i="21" a="1"/>
  <c r="F84" i="21" s="1"/>
  <c r="E84" i="21" a="1"/>
  <c r="E84" i="21" s="1"/>
  <c r="D84" i="21" a="1"/>
  <c r="D84" i="21" s="1"/>
  <c r="A85" i="21"/>
  <c r="C84" i="21" a="1"/>
  <c r="C84" i="21" s="1"/>
  <c r="B84" i="21" a="1"/>
  <c r="B84" i="21" s="1"/>
  <c r="M15" i="16" a="1"/>
  <c r="A21" i="6" l="1"/>
  <c r="C38" i="7"/>
  <c r="A36" i="1"/>
  <c r="H85" i="21" a="1"/>
  <c r="H85" i="21" s="1"/>
  <c r="G85" i="21" a="1"/>
  <c r="G85" i="21" s="1"/>
  <c r="F85" i="21" a="1"/>
  <c r="F85" i="21" s="1"/>
  <c r="E85" i="21" a="1"/>
  <c r="E85" i="21" s="1"/>
  <c r="D85" i="21" a="1"/>
  <c r="D85" i="21" s="1"/>
  <c r="A86" i="21"/>
  <c r="C85" i="21" a="1"/>
  <c r="C85" i="21" s="1"/>
  <c r="B85" i="21" a="1"/>
  <c r="B85" i="21" s="1"/>
  <c r="I42" i="13"/>
  <c r="I43" i="13"/>
  <c r="A43" i="13"/>
  <c r="A42" i="13"/>
  <c r="A41" i="13"/>
  <c r="M15" i="16"/>
  <c r="I33" i="13"/>
  <c r="I35" i="13"/>
  <c r="I37" i="13"/>
  <c r="I39" i="13"/>
  <c r="I32" i="13"/>
  <c r="A38" i="13"/>
  <c r="A33" i="13"/>
  <c r="A35" i="13"/>
  <c r="A37" i="13"/>
  <c r="I41" i="13"/>
  <c r="I34" i="13"/>
  <c r="I36" i="13"/>
  <c r="I38" i="13"/>
  <c r="I40" i="13"/>
  <c r="A40" i="13"/>
  <c r="A39" i="13"/>
  <c r="A34" i="13"/>
  <c r="A36" i="13"/>
  <c r="A32" i="13"/>
  <c r="A22" i="6" l="1"/>
  <c r="C39" i="7"/>
  <c r="A37" i="1"/>
  <c r="H86" i="21" a="1"/>
  <c r="H86" i="21" s="1"/>
  <c r="G86" i="21" a="1"/>
  <c r="G86" i="21" s="1"/>
  <c r="F86" i="21" a="1"/>
  <c r="F86" i="21" s="1"/>
  <c r="E86" i="21" a="1"/>
  <c r="E86" i="21" s="1"/>
  <c r="D86" i="21" a="1"/>
  <c r="D86" i="21" s="1"/>
  <c r="A87" i="21"/>
  <c r="C86" i="21" a="1"/>
  <c r="C86" i="21" s="1"/>
  <c r="B86" i="21" a="1"/>
  <c r="B86" i="21" s="1"/>
  <c r="J40" i="18"/>
  <c r="I31" i="18"/>
  <c r="G14" i="16"/>
  <c r="J40" i="13"/>
  <c r="I31" i="13"/>
  <c r="A23" i="6" l="1"/>
  <c r="C40" i="7"/>
  <c r="H14" i="16"/>
  <c r="A38" i="1"/>
  <c r="H87" i="21" a="1"/>
  <c r="H87" i="21" s="1"/>
  <c r="G87" i="21" a="1"/>
  <c r="G87" i="21" s="1"/>
  <c r="F87" i="21" a="1"/>
  <c r="F87" i="21" s="1"/>
  <c r="E87" i="21" a="1"/>
  <c r="E87" i="21" s="1"/>
  <c r="D87" i="21" a="1"/>
  <c r="D87" i="21" s="1"/>
  <c r="A88" i="21"/>
  <c r="C87" i="21" a="1"/>
  <c r="C87" i="21" s="1"/>
  <c r="B87" i="21" a="1"/>
  <c r="B87" i="21" s="1"/>
  <c r="G15" i="16"/>
  <c r="A24" i="6" l="1"/>
  <c r="C41" i="7"/>
  <c r="A39" i="1"/>
  <c r="H88" i="21" a="1"/>
  <c r="H88" i="21" s="1"/>
  <c r="G88" i="21" a="1"/>
  <c r="G88" i="21" s="1"/>
  <c r="F88" i="21" a="1"/>
  <c r="F88" i="21" s="1"/>
  <c r="E88" i="21" a="1"/>
  <c r="E88" i="21" s="1"/>
  <c r="D88" i="21" a="1"/>
  <c r="D88" i="21" s="1"/>
  <c r="A89" i="21"/>
  <c r="C88" i="21" a="1"/>
  <c r="C88" i="21" s="1"/>
  <c r="B88" i="21" a="1"/>
  <c r="B88" i="21" s="1"/>
  <c r="H15" i="16"/>
  <c r="A25" i="6" l="1"/>
  <c r="C42" i="7"/>
  <c r="A40" i="1"/>
  <c r="H89" i="21" a="1"/>
  <c r="H89" i="21" s="1"/>
  <c r="G89" i="21" a="1"/>
  <c r="G89" i="21" s="1"/>
  <c r="F89" i="21" a="1"/>
  <c r="F89" i="21" s="1"/>
  <c r="E89" i="21" a="1"/>
  <c r="E89" i="21" s="1"/>
  <c r="D89" i="21" a="1"/>
  <c r="D89" i="21" s="1"/>
  <c r="A90" i="21"/>
  <c r="C89" i="21" a="1"/>
  <c r="C89" i="21" s="1"/>
  <c r="B89" i="21" a="1"/>
  <c r="B89" i="21" s="1"/>
  <c r="C43" i="7" l="1"/>
  <c r="A41" i="1"/>
  <c r="H90" i="21" a="1"/>
  <c r="H90" i="21" s="1"/>
  <c r="G90" i="21" a="1"/>
  <c r="G90" i="21" s="1"/>
  <c r="F90" i="21" a="1"/>
  <c r="F90" i="21" s="1"/>
  <c r="E90" i="21" a="1"/>
  <c r="E90" i="21" s="1"/>
  <c r="D90" i="21" a="1"/>
  <c r="D90" i="21" s="1"/>
  <c r="A91" i="21"/>
  <c r="C90" i="21" a="1"/>
  <c r="C90" i="21" s="1"/>
  <c r="B90" i="21" a="1"/>
  <c r="B90" i="21" s="1"/>
  <c r="A27" i="6" l="1"/>
  <c r="C44" i="7"/>
  <c r="A42" i="1"/>
  <c r="H91" i="21" a="1"/>
  <c r="H91" i="21" s="1"/>
  <c r="G91" i="21" a="1"/>
  <c r="G91" i="21" s="1"/>
  <c r="F91" i="21" a="1"/>
  <c r="F91" i="21" s="1"/>
  <c r="E91" i="21" a="1"/>
  <c r="E91" i="21" s="1"/>
  <c r="D91" i="21" a="1"/>
  <c r="D91" i="21" s="1"/>
  <c r="A92" i="21"/>
  <c r="C91" i="21" a="1"/>
  <c r="C91" i="21" s="1"/>
  <c r="B91" i="21" a="1"/>
  <c r="B91" i="21" s="1"/>
  <c r="A28" i="6" l="1"/>
  <c r="C45" i="7"/>
  <c r="A43" i="1"/>
  <c r="H92" i="21" a="1"/>
  <c r="H92" i="21" s="1"/>
  <c r="G92" i="21" a="1"/>
  <c r="G92" i="21" s="1"/>
  <c r="F92" i="21" a="1"/>
  <c r="F92" i="21" s="1"/>
  <c r="E92" i="21" a="1"/>
  <c r="E92" i="21" s="1"/>
  <c r="D92" i="21" a="1"/>
  <c r="D92" i="21" s="1"/>
  <c r="A93" i="21"/>
  <c r="C92" i="21" a="1"/>
  <c r="C92" i="21" s="1"/>
  <c r="B92" i="21" a="1"/>
  <c r="B92" i="21" s="1"/>
  <c r="A29" i="6" l="1"/>
  <c r="C46" i="7"/>
  <c r="A44" i="1"/>
  <c r="H93" i="21" a="1"/>
  <c r="H93" i="21" s="1"/>
  <c r="G93" i="21" a="1"/>
  <c r="G93" i="21" s="1"/>
  <c r="F93" i="21" a="1"/>
  <c r="F93" i="21" s="1"/>
  <c r="E93" i="21" a="1"/>
  <c r="E93" i="21" s="1"/>
  <c r="D93" i="21" a="1"/>
  <c r="D93" i="21" s="1"/>
  <c r="A94" i="21"/>
  <c r="C93" i="21" a="1"/>
  <c r="C93" i="21" s="1"/>
  <c r="B93" i="21" a="1"/>
  <c r="B93" i="21" s="1"/>
  <c r="A30" i="6" l="1"/>
  <c r="C47" i="7"/>
  <c r="A45" i="1"/>
  <c r="H94" i="21" a="1"/>
  <c r="H94" i="21" s="1"/>
  <c r="G94" i="21" a="1"/>
  <c r="G94" i="21" s="1"/>
  <c r="F94" i="21" a="1"/>
  <c r="F94" i="21" s="1"/>
  <c r="E94" i="21" a="1"/>
  <c r="E94" i="21" s="1"/>
  <c r="D94" i="21" a="1"/>
  <c r="D94" i="21" s="1"/>
  <c r="A95" i="21"/>
  <c r="C94" i="21" a="1"/>
  <c r="C94" i="21" s="1"/>
  <c r="B94" i="21" a="1"/>
  <c r="B94" i="21" s="1"/>
  <c r="A135" i="27" l="1" a="1"/>
  <c r="A135" i="27" s="1"/>
  <c r="A31" i="6"/>
  <c r="A136" i="27" a="1"/>
  <c r="C48" i="7"/>
  <c r="A46" i="1"/>
  <c r="H95" i="21" a="1"/>
  <c r="H95" i="21" s="1"/>
  <c r="G95" i="21" a="1"/>
  <c r="G95" i="21" s="1"/>
  <c r="F95" i="21" a="1"/>
  <c r="F95" i="21" s="1"/>
  <c r="E95" i="21" a="1"/>
  <c r="E95" i="21" s="1"/>
  <c r="D95" i="21" a="1"/>
  <c r="D95" i="21" s="1"/>
  <c r="A96" i="21"/>
  <c r="C95" i="21" a="1"/>
  <c r="C95" i="21" s="1"/>
  <c r="B95" i="21" a="1"/>
  <c r="B95" i="21" s="1"/>
  <c r="A136" i="27" l="1"/>
  <c r="A32" i="6"/>
  <c r="C49" i="7"/>
  <c r="A47" i="1"/>
  <c r="H96" i="21" a="1"/>
  <c r="H96" i="21" s="1"/>
  <c r="G96" i="21" a="1"/>
  <c r="G96" i="21" s="1"/>
  <c r="F96" i="21" a="1"/>
  <c r="F96" i="21" s="1"/>
  <c r="E96" i="21" a="1"/>
  <c r="E96" i="21" s="1"/>
  <c r="D96" i="21" a="1"/>
  <c r="D96" i="21" s="1"/>
  <c r="A97" i="21"/>
  <c r="C96" i="21" a="1"/>
  <c r="C96" i="21" s="1"/>
  <c r="B96" i="21" a="1"/>
  <c r="B96" i="21" s="1"/>
  <c r="A137" i="27" l="1" a="1"/>
  <c r="A137" i="27" s="1"/>
  <c r="A33" i="6"/>
  <c r="A88" i="27" a="1"/>
  <c r="A138" i="27" a="1"/>
  <c r="C50" i="7"/>
  <c r="A48" i="1"/>
  <c r="H97" i="21" a="1"/>
  <c r="H97" i="21" s="1"/>
  <c r="G97" i="21" a="1"/>
  <c r="G97" i="21" s="1"/>
  <c r="F97" i="21" a="1"/>
  <c r="F97" i="21" s="1"/>
  <c r="E97" i="21" a="1"/>
  <c r="E97" i="21" s="1"/>
  <c r="D97" i="21" a="1"/>
  <c r="D97" i="21" s="1"/>
  <c r="A98" i="21"/>
  <c r="C97" i="21" a="1"/>
  <c r="C97" i="21" s="1"/>
  <c r="B97" i="21" a="1"/>
  <c r="B97" i="21" s="1"/>
  <c r="A138" i="27" l="1"/>
  <c r="A88" i="27"/>
  <c r="A34" i="6"/>
  <c r="A39" i="27" a="1"/>
  <c r="C51" i="7"/>
  <c r="A49" i="1"/>
  <c r="H98" i="21" a="1"/>
  <c r="H98" i="21" s="1"/>
  <c r="G98" i="21" a="1"/>
  <c r="G98" i="21" s="1"/>
  <c r="F98" i="21" a="1"/>
  <c r="F98" i="21" s="1"/>
  <c r="E98" i="21" a="1"/>
  <c r="E98" i="21" s="1"/>
  <c r="D98" i="21" a="1"/>
  <c r="D98" i="21" s="1"/>
  <c r="A99" i="21"/>
  <c r="C98" i="21" a="1"/>
  <c r="C98" i="21" s="1"/>
  <c r="B98" i="21" a="1"/>
  <c r="B98" i="21" s="1"/>
  <c r="A139" i="27" l="1" a="1"/>
  <c r="A139" i="27" s="1"/>
  <c r="A39" i="27"/>
  <c r="A40" i="27" s="1" a="1"/>
  <c r="A40" i="27" s="1"/>
  <c r="A35" i="6"/>
  <c r="A89" i="27" a="1"/>
  <c r="A140" i="27" a="1"/>
  <c r="C52" i="7"/>
  <c r="A50" i="1"/>
  <c r="H99" i="21" a="1"/>
  <c r="H99" i="21" s="1"/>
  <c r="G99" i="21" a="1"/>
  <c r="G99" i="21" s="1"/>
  <c r="F99" i="21" a="1"/>
  <c r="F99" i="21" s="1"/>
  <c r="E99" i="21" a="1"/>
  <c r="E99" i="21" s="1"/>
  <c r="D99" i="21" a="1"/>
  <c r="D99" i="21" s="1"/>
  <c r="A100" i="21"/>
  <c r="C99" i="21" a="1"/>
  <c r="C99" i="21" s="1"/>
  <c r="B99" i="21" a="1"/>
  <c r="B99" i="21" s="1"/>
  <c r="A140" i="27" l="1"/>
  <c r="A89" i="27"/>
  <c r="A90" i="27" s="1" a="1"/>
  <c r="A90" i="27" s="1"/>
  <c r="A36" i="6"/>
  <c r="A41" i="27" a="1"/>
  <c r="C53" i="7"/>
  <c r="A51" i="1"/>
  <c r="H100" i="21" a="1"/>
  <c r="H100" i="21" s="1"/>
  <c r="G100" i="21" a="1"/>
  <c r="G100" i="21" s="1"/>
  <c r="F100" i="21" a="1"/>
  <c r="F100" i="21" s="1"/>
  <c r="E100" i="21" a="1"/>
  <c r="E100" i="21" s="1"/>
  <c r="D100" i="21" a="1"/>
  <c r="D100" i="21" s="1"/>
  <c r="A101" i="21"/>
  <c r="C100" i="21" a="1"/>
  <c r="C100" i="21" s="1"/>
  <c r="B100" i="21" a="1"/>
  <c r="B100" i="21" s="1"/>
  <c r="A141" i="27" l="1" a="1"/>
  <c r="A141" i="27" s="1"/>
  <c r="A41" i="27"/>
  <c r="A42" i="27" s="1" a="1"/>
  <c r="A42" i="27" s="1"/>
  <c r="A37" i="6"/>
  <c r="A91" i="27" a="1"/>
  <c r="A142" i="27" a="1"/>
  <c r="C54" i="7"/>
  <c r="A52" i="1"/>
  <c r="H101" i="21" a="1"/>
  <c r="H101" i="21" s="1"/>
  <c r="G101" i="21" a="1"/>
  <c r="G101" i="21" s="1"/>
  <c r="F101" i="21" a="1"/>
  <c r="F101" i="21" s="1"/>
  <c r="E101" i="21" a="1"/>
  <c r="E101" i="21" s="1"/>
  <c r="D101" i="21" a="1"/>
  <c r="D101" i="21" s="1"/>
  <c r="A102" i="21"/>
  <c r="C101" i="21" a="1"/>
  <c r="C101" i="21" s="1"/>
  <c r="B101" i="21" a="1"/>
  <c r="B101" i="21" s="1"/>
  <c r="A142" i="27" l="1"/>
  <c r="A91" i="27"/>
  <c r="A92" i="27" s="1" a="1"/>
  <c r="A92" i="27" s="1"/>
  <c r="A38" i="6"/>
  <c r="A43" i="27" a="1"/>
  <c r="C55" i="7"/>
  <c r="A53" i="1"/>
  <c r="H102" i="21" a="1"/>
  <c r="H102" i="21" s="1"/>
  <c r="G102" i="21" a="1"/>
  <c r="G102" i="21" s="1"/>
  <c r="F102" i="21" a="1"/>
  <c r="F102" i="21" s="1"/>
  <c r="E102" i="21" a="1"/>
  <c r="E102" i="21" s="1"/>
  <c r="D102" i="21" a="1"/>
  <c r="D102" i="21" s="1"/>
  <c r="C102" i="21" a="1"/>
  <c r="C102" i="21" s="1"/>
  <c r="B102" i="21" a="1"/>
  <c r="B102" i="21" s="1"/>
  <c r="A143" i="27" l="1" a="1"/>
  <c r="A143" i="27" s="1"/>
  <c r="A43" i="27"/>
  <c r="A44" i="27" s="1" a="1"/>
  <c r="A44" i="27" s="1"/>
  <c r="A39" i="6"/>
  <c r="A93" i="27" a="1"/>
  <c r="A144" i="27" a="1"/>
  <c r="C56" i="7"/>
  <c r="A54" i="1"/>
  <c r="A144" i="27" l="1"/>
  <c r="A93" i="27"/>
  <c r="A94" i="27" s="1" a="1"/>
  <c r="A94" i="27" s="1"/>
  <c r="A40" i="6"/>
  <c r="A45" i="27" a="1"/>
  <c r="C57" i="7"/>
  <c r="A55" i="1"/>
  <c r="A145" i="27" l="1" a="1"/>
  <c r="A145" i="27" s="1"/>
  <c r="A45" i="27"/>
  <c r="A46" i="27" s="1" a="1"/>
  <c r="A46" i="27" s="1"/>
  <c r="A41" i="6"/>
  <c r="A95" i="27" a="1"/>
  <c r="A146" i="27" a="1"/>
  <c r="C58" i="7"/>
  <c r="A56" i="1"/>
  <c r="A47" i="27" l="1" a="1"/>
  <c r="A146" i="27"/>
  <c r="AP147" i="27"/>
  <c r="AO147" i="27"/>
  <c r="AN147" i="27"/>
  <c r="AM147" i="27"/>
  <c r="AL147" i="27"/>
  <c r="AK147" i="27"/>
  <c r="AJ147" i="27"/>
  <c r="AI147" i="27"/>
  <c r="AH147" i="27"/>
  <c r="AG147" i="27"/>
  <c r="AF147" i="27"/>
  <c r="AE147" i="27"/>
  <c r="AD147" i="27"/>
  <c r="AC147" i="27"/>
  <c r="AB147" i="27"/>
  <c r="AA147" i="27"/>
  <c r="Z147" i="27"/>
  <c r="Y147" i="27"/>
  <c r="X147" i="27"/>
  <c r="W147" i="27"/>
  <c r="V147" i="27"/>
  <c r="U147" i="27"/>
  <c r="T147" i="27"/>
  <c r="S147" i="27"/>
  <c r="R147" i="27"/>
  <c r="Q147" i="27"/>
  <c r="P147" i="27"/>
  <c r="O147" i="27"/>
  <c r="N147" i="27"/>
  <c r="M147" i="27"/>
  <c r="L147" i="27"/>
  <c r="K147" i="27"/>
  <c r="J147" i="27"/>
  <c r="I147" i="27"/>
  <c r="H147" i="27"/>
  <c r="G147" i="27"/>
  <c r="F147" i="27"/>
  <c r="E147" i="27"/>
  <c r="D147" i="27"/>
  <c r="C147" i="27"/>
  <c r="B147" i="27"/>
  <c r="A95" i="27"/>
  <c r="A96" i="27" s="1" a="1"/>
  <c r="A96" i="27" s="1"/>
  <c r="A97" i="27" s="1" a="1"/>
  <c r="A97" i="27" s="1"/>
  <c r="A98" i="27" s="1" a="1"/>
  <c r="A98" i="27" s="1"/>
  <c r="A99" i="27" s="1" a="1"/>
  <c r="A99" i="27" s="1"/>
  <c r="A100" i="27" s="1" a="1"/>
  <c r="A100" i="27" s="1"/>
  <c r="AP101" i="27"/>
  <c r="AO101" i="27"/>
  <c r="AN101" i="27"/>
  <c r="AM101" i="27"/>
  <c r="AL101" i="27"/>
  <c r="AK101" i="27"/>
  <c r="AJ101" i="27"/>
  <c r="AI101" i="27"/>
  <c r="AH101" i="27"/>
  <c r="AG101" i="27"/>
  <c r="AF101" i="27"/>
  <c r="AE101" i="27"/>
  <c r="AD101" i="27"/>
  <c r="AC101" i="27"/>
  <c r="AB101" i="27"/>
  <c r="AA101" i="27"/>
  <c r="Z101" i="27"/>
  <c r="Y101" i="27"/>
  <c r="X101" i="27"/>
  <c r="W101" i="27"/>
  <c r="V101" i="27"/>
  <c r="U101" i="27"/>
  <c r="T101" i="27"/>
  <c r="S101" i="27"/>
  <c r="R101" i="27"/>
  <c r="Q101" i="27"/>
  <c r="P101" i="27"/>
  <c r="O101" i="27"/>
  <c r="N101" i="27"/>
  <c r="M101" i="27"/>
  <c r="L101" i="27"/>
  <c r="K101" i="27"/>
  <c r="J101" i="27"/>
  <c r="I101" i="27"/>
  <c r="H101" i="27"/>
  <c r="G101" i="27"/>
  <c r="F101" i="27"/>
  <c r="E101" i="27"/>
  <c r="D101" i="27"/>
  <c r="C101" i="27"/>
  <c r="B101" i="27"/>
  <c r="A42" i="6"/>
  <c r="A57" i="1"/>
  <c r="A120" i="27" l="1" a="1"/>
  <c r="A120" i="27" s="1"/>
  <c r="A47" i="27"/>
  <c r="A48" i="27" s="1" a="1"/>
  <c r="A48" i="27" s="1"/>
  <c r="A49" i="27" s="1" a="1"/>
  <c r="A49" i="27" s="1"/>
  <c r="A50" i="27" s="1" a="1"/>
  <c r="A50" i="27" s="1"/>
  <c r="A51" i="27" s="1" a="1"/>
  <c r="A51" i="27" s="1"/>
  <c r="C52" i="27"/>
  <c r="D52" i="27"/>
  <c r="E52" i="27"/>
  <c r="F52" i="27"/>
  <c r="G52" i="27"/>
  <c r="H52" i="27"/>
  <c r="I52" i="27"/>
  <c r="J52" i="27"/>
  <c r="K52" i="27"/>
  <c r="L52" i="27"/>
  <c r="M52" i="27"/>
  <c r="N52" i="27"/>
  <c r="O52" i="27"/>
  <c r="P52" i="27"/>
  <c r="Q52" i="27"/>
  <c r="R52" i="27"/>
  <c r="S52" i="27"/>
  <c r="T52" i="27"/>
  <c r="U52" i="27"/>
  <c r="V52" i="27"/>
  <c r="W52" i="27"/>
  <c r="X52" i="27"/>
  <c r="Y52" i="27"/>
  <c r="Z52" i="27"/>
  <c r="AA52" i="27"/>
  <c r="AB52" i="27"/>
  <c r="AC52" i="27"/>
  <c r="AD52" i="27"/>
  <c r="AE52" i="27"/>
  <c r="AF52" i="27"/>
  <c r="AG52" i="27"/>
  <c r="AH52" i="27"/>
  <c r="AI52" i="27"/>
  <c r="AJ52" i="27"/>
  <c r="AK52" i="27"/>
  <c r="AL52" i="27"/>
  <c r="AM52" i="27"/>
  <c r="AN52" i="27"/>
  <c r="AO52" i="27"/>
  <c r="AP52" i="27"/>
  <c r="B52" i="27"/>
  <c r="A43" i="6"/>
  <c r="A121" i="27" a="1"/>
  <c r="A58" i="1"/>
  <c r="A121" i="27" l="1"/>
  <c r="A44" i="6"/>
  <c r="G41" i="20"/>
  <c r="G42" i="20"/>
  <c r="G43" i="20"/>
  <c r="A59" i="1"/>
  <c r="A122" i="27" l="1" a="1"/>
  <c r="A122" i="27" s="1"/>
  <c r="A45" i="6"/>
  <c r="A123" i="27" a="1"/>
  <c r="A60" i="1"/>
  <c r="A123" i="27" l="1"/>
  <c r="A46" i="6"/>
  <c r="A72" i="27" a="1"/>
  <c r="A23" i="27" a="1"/>
  <c r="H42" i="18"/>
  <c r="H43" i="18"/>
  <c r="G43" i="18"/>
  <c r="G42" i="18"/>
  <c r="H41" i="18"/>
  <c r="G41" i="18"/>
  <c r="A61" i="1"/>
  <c r="A124" i="27" l="1" a="1"/>
  <c r="A124" i="27" s="1"/>
  <c r="A23" i="27"/>
  <c r="A24" i="27" s="1" a="1"/>
  <c r="A72" i="27"/>
  <c r="A73" i="27" s="1" a="1"/>
  <c r="A47" i="6"/>
  <c r="A125" i="27" a="1"/>
  <c r="A62" i="1"/>
  <c r="A73" i="27" l="1"/>
  <c r="A24" i="27"/>
  <c r="A125" i="27"/>
  <c r="A48" i="6"/>
  <c r="A74" i="27" a="1"/>
  <c r="A25" i="27" a="1"/>
  <c r="G42" i="13"/>
  <c r="H42" i="13"/>
  <c r="G43" i="13"/>
  <c r="H43" i="13"/>
  <c r="H41" i="13"/>
  <c r="G41" i="13"/>
  <c r="A63" i="1"/>
  <c r="A126" i="27" l="1" a="1"/>
  <c r="A126" i="27" s="1"/>
  <c r="A25" i="27"/>
  <c r="A26" i="27" s="1" a="1"/>
  <c r="A74" i="27"/>
  <c r="A75" i="27" s="1" a="1"/>
  <c r="A49" i="6"/>
  <c r="A127" i="27" a="1"/>
  <c r="A64" i="1"/>
  <c r="A75" i="27" l="1"/>
  <c r="A26" i="27"/>
  <c r="A127" i="27"/>
  <c r="A50" i="6"/>
  <c r="A76" i="27" a="1"/>
  <c r="A27" i="27" a="1"/>
  <c r="A65" i="1"/>
  <c r="A128" i="27" l="1" a="1"/>
  <c r="A128" i="27" s="1"/>
  <c r="A27" i="27"/>
  <c r="A28" i="27" s="1" a="1"/>
  <c r="A76" i="27"/>
  <c r="A77" i="27" s="1" a="1"/>
  <c r="A51" i="6"/>
  <c r="A129" i="27" a="1"/>
  <c r="A66" i="1"/>
  <c r="A52" i="6" l="1"/>
  <c r="A77" i="27"/>
  <c r="A78" i="27" s="1" a="1"/>
  <c r="A78" i="27" s="1"/>
  <c r="A79" i="27" s="1" a="1"/>
  <c r="A79" i="27" s="1"/>
  <c r="A28" i="27"/>
  <c r="A29" i="27" s="1" a="1"/>
  <c r="A29" i="27" s="1"/>
  <c r="A30" i="27" s="1" a="1"/>
  <c r="A30" i="27" s="1"/>
  <c r="A129" i="27"/>
  <c r="A130" i="27" s="1" a="1"/>
  <c r="A130" i="27" s="1"/>
  <c r="A67" i="1"/>
  <c r="A53" i="6" l="1"/>
  <c r="A68" i="1"/>
  <c r="A54" i="6" l="1"/>
  <c r="A188" i="27" a="1"/>
  <c r="A105" i="27" a="1"/>
  <c r="A161" i="27" a="1"/>
  <c r="A131" i="27" a="1"/>
  <c r="A31" i="27" a="1"/>
  <c r="A80" i="27" a="1"/>
  <c r="A69" i="1"/>
  <c r="A80" i="27" l="1"/>
  <c r="A81" i="27" s="1" a="1"/>
  <c r="A81" i="27" s="1"/>
  <c r="A82" i="27" s="1" a="1"/>
  <c r="A82" i="27" s="1"/>
  <c r="A83" i="27" s="1" a="1"/>
  <c r="A83" i="27" s="1"/>
  <c r="A84" i="27" s="1" a="1"/>
  <c r="A84" i="27" s="1"/>
  <c r="AP85" i="27"/>
  <c r="AO85" i="27"/>
  <c r="AN85" i="27"/>
  <c r="AM85" i="27"/>
  <c r="AL85" i="27"/>
  <c r="AK85" i="27"/>
  <c r="AJ85" i="27"/>
  <c r="AI85" i="27"/>
  <c r="AH85" i="27"/>
  <c r="AG85" i="27"/>
  <c r="AF85" i="27"/>
  <c r="AE85" i="27"/>
  <c r="AD85" i="27"/>
  <c r="AC85" i="27"/>
  <c r="AB85" i="27"/>
  <c r="AA85" i="27"/>
  <c r="Z85" i="27"/>
  <c r="Y85" i="27"/>
  <c r="X85" i="27"/>
  <c r="W85" i="27"/>
  <c r="V85" i="27"/>
  <c r="U85" i="27"/>
  <c r="T85" i="27"/>
  <c r="S85" i="27"/>
  <c r="R85" i="27"/>
  <c r="Q85" i="27"/>
  <c r="P85" i="27"/>
  <c r="O85" i="27"/>
  <c r="N85" i="27"/>
  <c r="M85" i="27"/>
  <c r="L85" i="27"/>
  <c r="K85" i="27"/>
  <c r="J85" i="27"/>
  <c r="I85" i="27"/>
  <c r="H85" i="27"/>
  <c r="G85" i="27"/>
  <c r="F85" i="27"/>
  <c r="E85" i="27"/>
  <c r="D85" i="27"/>
  <c r="C85" i="27"/>
  <c r="B85" i="27"/>
  <c r="A31" i="27"/>
  <c r="A32" i="27" s="1" a="1"/>
  <c r="A32" i="27" s="1"/>
  <c r="A33" i="27" s="1" a="1"/>
  <c r="A33" i="27" s="1"/>
  <c r="A34" i="27" s="1" a="1"/>
  <c r="A34" i="27" s="1"/>
  <c r="A35" i="27" s="1" a="1"/>
  <c r="A35" i="27" s="1"/>
  <c r="D36" i="27"/>
  <c r="E36" i="27"/>
  <c r="F36" i="27"/>
  <c r="G36" i="27"/>
  <c r="H36" i="27"/>
  <c r="I36" i="27"/>
  <c r="J36" i="27"/>
  <c r="K36" i="27"/>
  <c r="L36" i="27"/>
  <c r="M36" i="27"/>
  <c r="N36" i="27"/>
  <c r="O36" i="27"/>
  <c r="P36" i="27"/>
  <c r="Q36" i="27"/>
  <c r="R36" i="27"/>
  <c r="S36" i="27"/>
  <c r="T36" i="27"/>
  <c r="U36" i="27"/>
  <c r="V36" i="27"/>
  <c r="W36" i="27"/>
  <c r="X36" i="27"/>
  <c r="Y36" i="27"/>
  <c r="Z36" i="27"/>
  <c r="AA36" i="27"/>
  <c r="AB36" i="27"/>
  <c r="AC36" i="27"/>
  <c r="AD36" i="27"/>
  <c r="AE36" i="27"/>
  <c r="AF36" i="27"/>
  <c r="AG36" i="27"/>
  <c r="AH36" i="27"/>
  <c r="AI36" i="27"/>
  <c r="AJ36" i="27"/>
  <c r="AK36" i="27"/>
  <c r="AL36" i="27"/>
  <c r="AM36" i="27"/>
  <c r="AN36" i="27"/>
  <c r="AO36" i="27"/>
  <c r="AP36" i="27"/>
  <c r="C36" i="27"/>
  <c r="B36" i="27"/>
  <c r="AP132" i="27"/>
  <c r="AO132" i="27"/>
  <c r="AN132" i="27"/>
  <c r="AM132" i="27"/>
  <c r="AL132" i="27"/>
  <c r="AK132" i="27"/>
  <c r="AJ132" i="27"/>
  <c r="AI132" i="27"/>
  <c r="AH132" i="27"/>
  <c r="AG132" i="27"/>
  <c r="AF132" i="27"/>
  <c r="AE132" i="27"/>
  <c r="AD132" i="27"/>
  <c r="AC132" i="27"/>
  <c r="AB132" i="27"/>
  <c r="AA132" i="27"/>
  <c r="Z132" i="27"/>
  <c r="Y132" i="27"/>
  <c r="X132" i="27"/>
  <c r="W132" i="27"/>
  <c r="V132" i="27"/>
  <c r="U132" i="27"/>
  <c r="T132" i="27"/>
  <c r="S132" i="27"/>
  <c r="R132" i="27"/>
  <c r="Q132" i="27"/>
  <c r="P132" i="27"/>
  <c r="O132" i="27"/>
  <c r="N132" i="27"/>
  <c r="M132" i="27"/>
  <c r="L132" i="27"/>
  <c r="K132" i="27"/>
  <c r="J132" i="27"/>
  <c r="I132" i="27"/>
  <c r="H132" i="27"/>
  <c r="G132" i="27"/>
  <c r="F132" i="27"/>
  <c r="E132" i="27"/>
  <c r="D132" i="27"/>
  <c r="C132" i="27"/>
  <c r="B132" i="27"/>
  <c r="A131" i="27"/>
  <c r="A161" i="27"/>
  <c r="A105" i="27"/>
  <c r="A188" i="27"/>
  <c r="A55" i="6"/>
  <c r="A70" i="1"/>
  <c r="A56" i="6" l="1"/>
  <c r="A189" i="27" a="1"/>
  <c r="A106" i="27" a="1"/>
  <c r="A162" i="27" a="1"/>
  <c r="A71" i="1"/>
  <c r="A162" i="27" l="1"/>
  <c r="A163" i="27" s="1" a="1"/>
  <c r="A163" i="27" s="1"/>
  <c r="A106" i="27"/>
  <c r="A107" i="27" s="1" a="1"/>
  <c r="A107" i="27" s="1"/>
  <c r="A189" i="27"/>
  <c r="A190" i="27" s="1" a="1"/>
  <c r="A190" i="27" s="1"/>
  <c r="A57" i="6"/>
  <c r="A72" i="1"/>
  <c r="A58" i="6" l="1"/>
  <c r="A7" i="27" a="1"/>
  <c r="A56" i="27" a="1"/>
  <c r="A191" i="27" a="1"/>
  <c r="A108" i="27" a="1"/>
  <c r="A164" i="27" a="1"/>
  <c r="A73" i="1"/>
  <c r="A164" i="27" l="1"/>
  <c r="A165" i="27" s="1" a="1"/>
  <c r="A165" i="27" s="1"/>
  <c r="A108" i="27"/>
  <c r="A109" i="27" s="1" a="1"/>
  <c r="A109" i="27" s="1"/>
  <c r="A191" i="27"/>
  <c r="A192" i="27" s="1" a="1"/>
  <c r="A192" i="27" s="1"/>
  <c r="A56" i="27"/>
  <c r="A57" i="27" s="1" a="1"/>
  <c r="A57" i="27" s="1"/>
  <c r="A7" i="27"/>
  <c r="A8" i="27" s="1" a="1"/>
  <c r="A8" i="27" s="1"/>
  <c r="A59" i="6"/>
  <c r="A74" i="1"/>
  <c r="A60" i="6" l="1"/>
  <c r="A151" i="27" a="1"/>
  <c r="A178" i="27" a="1"/>
  <c r="A9" i="27" a="1"/>
  <c r="A58" i="27" a="1"/>
  <c r="A193" i="27" a="1"/>
  <c r="A110" i="27" a="1"/>
  <c r="A166" i="27" a="1"/>
  <c r="A75" i="1"/>
  <c r="A166" i="27" l="1"/>
  <c r="A167" i="27" s="1" a="1"/>
  <c r="C174" i="27"/>
  <c r="D174" i="27"/>
  <c r="E174" i="27"/>
  <c r="F174" i="27"/>
  <c r="G174" i="27"/>
  <c r="H174" i="27"/>
  <c r="I174" i="27"/>
  <c r="J174" i="27"/>
  <c r="K174" i="27"/>
  <c r="L174" i="27"/>
  <c r="M174" i="27"/>
  <c r="N174" i="27"/>
  <c r="O174" i="27"/>
  <c r="P174" i="27"/>
  <c r="Q174" i="27"/>
  <c r="R174" i="27"/>
  <c r="S174" i="27"/>
  <c r="T174" i="27"/>
  <c r="U174" i="27"/>
  <c r="V174" i="27"/>
  <c r="W174" i="27"/>
  <c r="X174" i="27"/>
  <c r="Y174" i="27"/>
  <c r="Z174" i="27"/>
  <c r="AA174" i="27"/>
  <c r="AB174" i="27"/>
  <c r="AC174" i="27"/>
  <c r="AD174" i="27"/>
  <c r="AE174" i="27"/>
  <c r="AF174" i="27"/>
  <c r="AG174" i="27"/>
  <c r="AH174" i="27"/>
  <c r="AI174" i="27"/>
  <c r="AJ174" i="27"/>
  <c r="AK174" i="27"/>
  <c r="AL174" i="27"/>
  <c r="AM174" i="27"/>
  <c r="AN174" i="27"/>
  <c r="AO174" i="27"/>
  <c r="AP174" i="27"/>
  <c r="B174" i="27"/>
  <c r="A110" i="27"/>
  <c r="A111" i="27" s="1" a="1"/>
  <c r="A111" i="27" s="1"/>
  <c r="A193" i="27"/>
  <c r="A194" i="27" s="1" a="1"/>
  <c r="AP201" i="27"/>
  <c r="AO201" i="27"/>
  <c r="AN201" i="27"/>
  <c r="AM201" i="27"/>
  <c r="AL201" i="27"/>
  <c r="AK201" i="27"/>
  <c r="AJ201" i="27"/>
  <c r="AI201" i="27"/>
  <c r="AH201" i="27"/>
  <c r="AG201" i="27"/>
  <c r="AF201" i="27"/>
  <c r="AE201" i="27"/>
  <c r="AD201" i="27"/>
  <c r="AC201" i="27"/>
  <c r="AB201" i="27"/>
  <c r="AA201" i="27"/>
  <c r="Z201" i="27"/>
  <c r="Y201" i="27"/>
  <c r="X201" i="27"/>
  <c r="W201" i="27"/>
  <c r="V201" i="27"/>
  <c r="U201" i="27"/>
  <c r="T201" i="27"/>
  <c r="S201" i="27"/>
  <c r="R201" i="27"/>
  <c r="Q201" i="27"/>
  <c r="P201" i="27"/>
  <c r="O201" i="27"/>
  <c r="N201" i="27"/>
  <c r="M201" i="27"/>
  <c r="L201" i="27"/>
  <c r="K201" i="27"/>
  <c r="J201" i="27"/>
  <c r="I201" i="27"/>
  <c r="H201" i="27"/>
  <c r="G201" i="27"/>
  <c r="F201" i="27"/>
  <c r="E201" i="27"/>
  <c r="D201" i="27"/>
  <c r="C201" i="27"/>
  <c r="B201" i="27"/>
  <c r="A58" i="27"/>
  <c r="A59" i="27" s="1" a="1"/>
  <c r="A59" i="27" s="1"/>
  <c r="A9" i="27"/>
  <c r="A10" i="27" s="1" a="1"/>
  <c r="A10" i="27" s="1"/>
  <c r="A178" i="27"/>
  <c r="A151" i="27"/>
  <c r="A61" i="6"/>
  <c r="A76" i="1"/>
  <c r="A62" i="6" l="1"/>
  <c r="A152" i="27" a="1"/>
  <c r="A179" i="27" a="1"/>
  <c r="A11" i="27" a="1"/>
  <c r="A60" i="27" a="1"/>
  <c r="A194" i="27"/>
  <c r="A195" i="27" s="1" a="1"/>
  <c r="A195" i="27" s="1"/>
  <c r="A196" i="27" s="1" a="1"/>
  <c r="A196" i="27" s="1"/>
  <c r="A112" i="27" a="1"/>
  <c r="A167" i="27"/>
  <c r="A168" i="27" s="1" a="1"/>
  <c r="A168" i="27" s="1"/>
  <c r="A169" i="27" s="1" a="1"/>
  <c r="A169" i="27" s="1"/>
  <c r="A77" i="1"/>
  <c r="A112" i="27" l="1"/>
  <c r="A113" i="27" s="1" a="1"/>
  <c r="A113" i="27" s="1"/>
  <c r="A60" i="27"/>
  <c r="A61" i="27" s="1" a="1"/>
  <c r="A61" i="27" s="1"/>
  <c r="A11" i="27"/>
  <c r="A12" i="27" s="1" a="1"/>
  <c r="A12" i="27" s="1"/>
  <c r="A179" i="27"/>
  <c r="A180" i="27" s="1" a="1"/>
  <c r="A180" i="27" s="1"/>
  <c r="AP185" i="27"/>
  <c r="AO185" i="27"/>
  <c r="AN185" i="27"/>
  <c r="AM185" i="27"/>
  <c r="AL185" i="27"/>
  <c r="AK185" i="27"/>
  <c r="AJ185" i="27"/>
  <c r="AI185" i="27"/>
  <c r="AH185" i="27"/>
  <c r="AG185" i="27"/>
  <c r="AF185" i="27"/>
  <c r="AE185" i="27"/>
  <c r="AD185" i="27"/>
  <c r="AC185" i="27"/>
  <c r="AB185" i="27"/>
  <c r="AA185" i="27"/>
  <c r="Z185" i="27"/>
  <c r="Y185" i="27"/>
  <c r="X185" i="27"/>
  <c r="W185" i="27"/>
  <c r="V185" i="27"/>
  <c r="U185" i="27"/>
  <c r="T185" i="27"/>
  <c r="S185" i="27"/>
  <c r="R185" i="27"/>
  <c r="Q185" i="27"/>
  <c r="P185" i="27"/>
  <c r="O185" i="27"/>
  <c r="N185" i="27"/>
  <c r="M185" i="27"/>
  <c r="L185" i="27"/>
  <c r="K185" i="27"/>
  <c r="J185" i="27"/>
  <c r="I185" i="27"/>
  <c r="H185" i="27"/>
  <c r="G185" i="27"/>
  <c r="F185" i="27"/>
  <c r="E185" i="27"/>
  <c r="D185" i="27"/>
  <c r="C185" i="27"/>
  <c r="B185" i="27"/>
  <c r="A152" i="27"/>
  <c r="A153" i="27" s="1" a="1"/>
  <c r="A153" i="27" s="1"/>
  <c r="Y158" i="27"/>
  <c r="Z158" i="27"/>
  <c r="AA158" i="27"/>
  <c r="AB158" i="27"/>
  <c r="AC158" i="27"/>
  <c r="AD158" i="27"/>
  <c r="AE158" i="27"/>
  <c r="AF158" i="27"/>
  <c r="AG158" i="27"/>
  <c r="AH158" i="27"/>
  <c r="AI158" i="27"/>
  <c r="AJ158" i="27"/>
  <c r="AK158" i="27"/>
  <c r="AL158" i="27"/>
  <c r="AM158" i="27"/>
  <c r="AN158" i="27"/>
  <c r="AO158" i="27"/>
  <c r="AP158" i="27"/>
  <c r="X158" i="27"/>
  <c r="W158" i="27"/>
  <c r="V158" i="27"/>
  <c r="U158" i="27"/>
  <c r="T158" i="27"/>
  <c r="S158" i="27"/>
  <c r="R158" i="27"/>
  <c r="Q158" i="27"/>
  <c r="P158" i="27"/>
  <c r="O158" i="27"/>
  <c r="N158" i="27"/>
  <c r="M158" i="27"/>
  <c r="L158" i="27"/>
  <c r="K158" i="27"/>
  <c r="J158" i="27"/>
  <c r="I158" i="27"/>
  <c r="H158" i="27"/>
  <c r="G158" i="27"/>
  <c r="F158" i="27"/>
  <c r="E158" i="27"/>
  <c r="D158" i="27"/>
  <c r="C158" i="27"/>
  <c r="B158" i="27"/>
  <c r="A63" i="6"/>
  <c r="A78" i="1"/>
  <c r="A64" i="6" l="1"/>
  <c r="A170" i="27" a="1"/>
  <c r="A197" i="27" a="1"/>
  <c r="A154" i="27" a="1"/>
  <c r="A181" i="27" a="1"/>
  <c r="A13" i="27" a="1"/>
  <c r="A62" i="27" a="1"/>
  <c r="A114" i="27" a="1"/>
  <c r="A79" i="1"/>
  <c r="A114" i="27" l="1"/>
  <c r="A115" i="27" s="1" a="1"/>
  <c r="A115" i="27" s="1"/>
  <c r="A62" i="27"/>
  <c r="A63" i="27" s="1" a="1"/>
  <c r="A63" i="27" s="1"/>
  <c r="A13" i="27"/>
  <c r="A14" i="27" s="1" a="1"/>
  <c r="A14" i="27" s="1"/>
  <c r="A181" i="27"/>
  <c r="A182" i="27" s="1" a="1"/>
  <c r="A182" i="27" s="1"/>
  <c r="A154" i="27"/>
  <c r="A155" i="27" s="1" a="1"/>
  <c r="A155" i="27" s="1"/>
  <c r="A197" i="27"/>
  <c r="A198" i="27" s="1" a="1"/>
  <c r="A198" i="27" s="1"/>
  <c r="A170" i="27"/>
  <c r="A171" i="27" s="1" a="1"/>
  <c r="A171" i="27" s="1"/>
  <c r="A65" i="6"/>
  <c r="A80" i="1"/>
  <c r="A66" i="6" l="1"/>
  <c r="A205" i="27" a="1"/>
  <c r="A172" i="27" a="1"/>
  <c r="A199" i="27" a="1"/>
  <c r="A156" i="27" a="1"/>
  <c r="A183" i="27" a="1"/>
  <c r="A15" i="27" a="1"/>
  <c r="A64" i="27" a="1"/>
  <c r="A116" i="27" a="1"/>
  <c r="A81" i="1"/>
  <c r="A116" i="27" l="1"/>
  <c r="L254" i="32"/>
  <c r="M254" i="32"/>
  <c r="N254" i="32"/>
  <c r="O254" i="32"/>
  <c r="P254" i="32"/>
  <c r="Q254" i="32"/>
  <c r="R254" i="32"/>
  <c r="S254" i="32"/>
  <c r="T254" i="32"/>
  <c r="U254" i="32"/>
  <c r="V254" i="32"/>
  <c r="W254" i="32"/>
  <c r="X254" i="32"/>
  <c r="Y254" i="32"/>
  <c r="Z254" i="32"/>
  <c r="AA254" i="32"/>
  <c r="AB254" i="32"/>
  <c r="AC254" i="32"/>
  <c r="AD254" i="32"/>
  <c r="AE254" i="32"/>
  <c r="AF254" i="32"/>
  <c r="AG254" i="32"/>
  <c r="AH254" i="32"/>
  <c r="AI254" i="32"/>
  <c r="AJ254" i="32"/>
  <c r="AK254" i="32"/>
  <c r="AL254" i="32"/>
  <c r="AM254" i="32"/>
  <c r="AN254" i="32"/>
  <c r="AO254" i="32"/>
  <c r="AP254" i="32"/>
  <c r="AQ254" i="32"/>
  <c r="AR254" i="32"/>
  <c r="E254" i="32"/>
  <c r="F254" i="32"/>
  <c r="G254" i="32"/>
  <c r="H254" i="32"/>
  <c r="I254" i="32"/>
  <c r="J254" i="32"/>
  <c r="K254" i="32"/>
  <c r="D254" i="32"/>
  <c r="D212" i="32" s="1" a="1"/>
  <c r="D212" i="32" s="1"/>
  <c r="I212" i="32" s="1" a="1"/>
  <c r="E205" i="32"/>
  <c r="F205" i="32"/>
  <c r="G205" i="32"/>
  <c r="H205" i="32"/>
  <c r="I205" i="32"/>
  <c r="J205" i="32"/>
  <c r="K205" i="32"/>
  <c r="L205" i="32"/>
  <c r="M205" i="32"/>
  <c r="N205" i="32"/>
  <c r="O205" i="32"/>
  <c r="P205" i="32"/>
  <c r="Q205" i="32"/>
  <c r="R205" i="32"/>
  <c r="S205" i="32"/>
  <c r="T205" i="32"/>
  <c r="U205" i="32"/>
  <c r="V205" i="32"/>
  <c r="W205" i="32"/>
  <c r="X205" i="32"/>
  <c r="Y205" i="32"/>
  <c r="Z205" i="32"/>
  <c r="AA205" i="32"/>
  <c r="AB205" i="32"/>
  <c r="AC205" i="32"/>
  <c r="AD205" i="32"/>
  <c r="AE205" i="32"/>
  <c r="AF205" i="32"/>
  <c r="AG205" i="32"/>
  <c r="AH205" i="32"/>
  <c r="AI205" i="32"/>
  <c r="AJ205" i="32"/>
  <c r="AK205" i="32"/>
  <c r="AL205" i="32"/>
  <c r="AM205" i="32"/>
  <c r="AN205" i="32"/>
  <c r="AO205" i="32"/>
  <c r="AP205" i="32"/>
  <c r="AQ205" i="32"/>
  <c r="AR205" i="32"/>
  <c r="D205" i="32"/>
  <c r="E204" i="32"/>
  <c r="F204" i="32"/>
  <c r="G204" i="32"/>
  <c r="H204" i="32"/>
  <c r="I204" i="32"/>
  <c r="J204" i="32"/>
  <c r="K204" i="32"/>
  <c r="L204" i="32"/>
  <c r="M204" i="32"/>
  <c r="N204" i="32"/>
  <c r="O204" i="32"/>
  <c r="P204" i="32"/>
  <c r="Q204" i="32"/>
  <c r="R204" i="32"/>
  <c r="S204" i="32"/>
  <c r="T204" i="32"/>
  <c r="U204" i="32"/>
  <c r="V204" i="32"/>
  <c r="W204" i="32"/>
  <c r="X204" i="32"/>
  <c r="Y204" i="32"/>
  <c r="Z204" i="32"/>
  <c r="AA204" i="32"/>
  <c r="AB204" i="32"/>
  <c r="AC204" i="32"/>
  <c r="AD204" i="32"/>
  <c r="AE204" i="32"/>
  <c r="AF204" i="32"/>
  <c r="AG204" i="32"/>
  <c r="AH204" i="32"/>
  <c r="AI204" i="32"/>
  <c r="AJ204" i="32"/>
  <c r="AK204" i="32"/>
  <c r="AL204" i="32"/>
  <c r="AM204" i="32"/>
  <c r="AN204" i="32"/>
  <c r="AO204" i="32"/>
  <c r="AP204" i="32"/>
  <c r="AQ204" i="32"/>
  <c r="AR204" i="32"/>
  <c r="D204" i="32"/>
  <c r="D161" i="32" s="1" a="1"/>
  <c r="D161" i="32" s="1"/>
  <c r="I161" i="32" s="1" a="1"/>
  <c r="AP117" i="27"/>
  <c r="AO117" i="27"/>
  <c r="AN117" i="27"/>
  <c r="AM117" i="27"/>
  <c r="AL117" i="27"/>
  <c r="AK117" i="27"/>
  <c r="AJ117" i="27"/>
  <c r="AI117" i="27"/>
  <c r="AH117" i="27"/>
  <c r="AG117" i="27"/>
  <c r="AF117" i="27"/>
  <c r="AE117" i="27"/>
  <c r="AD117" i="27"/>
  <c r="AC117" i="27"/>
  <c r="AB117" i="27"/>
  <c r="AA117" i="27"/>
  <c r="Z117" i="27"/>
  <c r="Y117" i="27"/>
  <c r="X117" i="27"/>
  <c r="W117" i="27"/>
  <c r="V117" i="27"/>
  <c r="U117" i="27"/>
  <c r="T117" i="27"/>
  <c r="S117" i="27"/>
  <c r="R117" i="27"/>
  <c r="Q117" i="27"/>
  <c r="P117" i="27"/>
  <c r="O117" i="27"/>
  <c r="N117" i="27"/>
  <c r="M117" i="27"/>
  <c r="L117" i="27"/>
  <c r="K117" i="27"/>
  <c r="J117" i="27"/>
  <c r="I117" i="27"/>
  <c r="H117" i="27"/>
  <c r="G117" i="27"/>
  <c r="F117" i="27"/>
  <c r="E117" i="27"/>
  <c r="D117" i="27"/>
  <c r="C117" i="27"/>
  <c r="B117" i="27"/>
  <c r="A64" i="27"/>
  <c r="A65" i="27" s="1" a="1"/>
  <c r="A65" i="27" s="1"/>
  <c r="A66" i="27" s="1" a="1"/>
  <c r="A66" i="27" s="1"/>
  <c r="A67" i="27" s="1" a="1"/>
  <c r="A67" i="27" s="1"/>
  <c r="A68" i="27" s="1" a="1"/>
  <c r="A68" i="27" s="1"/>
  <c r="AP69" i="27"/>
  <c r="AO69" i="27"/>
  <c r="AN69" i="27"/>
  <c r="AM69" i="27"/>
  <c r="AL69" i="27"/>
  <c r="AK69" i="27"/>
  <c r="AJ69" i="27"/>
  <c r="AI69" i="27"/>
  <c r="AH69" i="27"/>
  <c r="AG69" i="27"/>
  <c r="AF69" i="27"/>
  <c r="AE69" i="27"/>
  <c r="AD69" i="27"/>
  <c r="AC69" i="27"/>
  <c r="AB69" i="27"/>
  <c r="AA69" i="27"/>
  <c r="Z69" i="27"/>
  <c r="Y69" i="27"/>
  <c r="X69" i="27"/>
  <c r="W69" i="27"/>
  <c r="V69" i="27"/>
  <c r="U69" i="27"/>
  <c r="T69" i="27"/>
  <c r="S69" i="27"/>
  <c r="R69" i="27"/>
  <c r="Q69" i="27"/>
  <c r="P69" i="27"/>
  <c r="O69" i="27"/>
  <c r="N69" i="27"/>
  <c r="M69" i="27"/>
  <c r="L69" i="27"/>
  <c r="K69" i="27"/>
  <c r="J69" i="27"/>
  <c r="I69" i="27"/>
  <c r="H69" i="27"/>
  <c r="G69" i="27"/>
  <c r="F69" i="27"/>
  <c r="E69" i="27"/>
  <c r="D69" i="27"/>
  <c r="C69" i="27"/>
  <c r="B69" i="27"/>
  <c r="A15" i="27"/>
  <c r="A16" i="27" s="1" a="1"/>
  <c r="A16" i="27" s="1"/>
  <c r="A17" i="27" s="1" a="1"/>
  <c r="A17" i="27" s="1"/>
  <c r="A18" i="27" s="1" a="1"/>
  <c r="A18" i="27" s="1"/>
  <c r="A19" i="27" s="1" a="1"/>
  <c r="A19" i="27" s="1"/>
  <c r="AP20" i="27"/>
  <c r="AO20" i="27"/>
  <c r="AN20" i="27"/>
  <c r="AM20" i="27"/>
  <c r="AL20" i="27"/>
  <c r="AK20" i="27"/>
  <c r="AJ20" i="27"/>
  <c r="AI20" i="27"/>
  <c r="AH20" i="27"/>
  <c r="AG20" i="27"/>
  <c r="AF20" i="27"/>
  <c r="AE20" i="27"/>
  <c r="AD20" i="27"/>
  <c r="AC20" i="27"/>
  <c r="AB20" i="27"/>
  <c r="AA20" i="27"/>
  <c r="Z20" i="27"/>
  <c r="Y20" i="27"/>
  <c r="X20" i="27"/>
  <c r="W20" i="27"/>
  <c r="V20" i="27"/>
  <c r="U20" i="27"/>
  <c r="T20" i="27"/>
  <c r="S20" i="27"/>
  <c r="R20" i="27"/>
  <c r="Q20" i="27"/>
  <c r="P20" i="27"/>
  <c r="O20" i="27"/>
  <c r="N20" i="27"/>
  <c r="M20" i="27"/>
  <c r="L20" i="27"/>
  <c r="K20" i="27"/>
  <c r="J20" i="27"/>
  <c r="I20" i="27"/>
  <c r="H20" i="27"/>
  <c r="G20" i="27"/>
  <c r="F20" i="27"/>
  <c r="E20" i="27"/>
  <c r="D20" i="27"/>
  <c r="C20" i="27"/>
  <c r="B20" i="27"/>
  <c r="A183" i="27"/>
  <c r="AP184" i="27"/>
  <c r="AR152" i="32" s="1"/>
  <c r="AO184" i="27"/>
  <c r="AQ152" i="32" s="1"/>
  <c r="AN184" i="27"/>
  <c r="AP152" i="32" s="1"/>
  <c r="AM184" i="27"/>
  <c r="AO152" i="32" s="1"/>
  <c r="AL184" i="27"/>
  <c r="AN152" i="32" s="1"/>
  <c r="AK184" i="27"/>
  <c r="AM152" i="32" s="1"/>
  <c r="AJ184" i="27"/>
  <c r="AL152" i="32" s="1"/>
  <c r="AI184" i="27"/>
  <c r="AK152" i="32" s="1"/>
  <c r="AH184" i="27"/>
  <c r="AJ152" i="32" s="1"/>
  <c r="AG184" i="27"/>
  <c r="AI152" i="32" s="1"/>
  <c r="AF184" i="27"/>
  <c r="AH152" i="32" s="1"/>
  <c r="AE184" i="27"/>
  <c r="AG152" i="32" s="1"/>
  <c r="AD184" i="27"/>
  <c r="AF152" i="32" s="1"/>
  <c r="AC184" i="27"/>
  <c r="AE152" i="32" s="1"/>
  <c r="AB184" i="27"/>
  <c r="AD152" i="32" s="1"/>
  <c r="AA184" i="27"/>
  <c r="AC152" i="32" s="1"/>
  <c r="Z184" i="27"/>
  <c r="AB152" i="32" s="1"/>
  <c r="Y184" i="27"/>
  <c r="AA152" i="32" s="1"/>
  <c r="X184" i="27"/>
  <c r="Z152" i="32" s="1"/>
  <c r="W184" i="27"/>
  <c r="Y152" i="32" s="1"/>
  <c r="V184" i="27"/>
  <c r="X152" i="32" s="1"/>
  <c r="U184" i="27"/>
  <c r="W152" i="32" s="1"/>
  <c r="T184" i="27"/>
  <c r="V152" i="32" s="1"/>
  <c r="S184" i="27"/>
  <c r="U152" i="32" s="1"/>
  <c r="R184" i="27"/>
  <c r="T152" i="32" s="1"/>
  <c r="Q184" i="27"/>
  <c r="S152" i="32" s="1"/>
  <c r="P184" i="27"/>
  <c r="R152" i="32" s="1"/>
  <c r="O184" i="27"/>
  <c r="Q152" i="32" s="1"/>
  <c r="N184" i="27"/>
  <c r="P152" i="32" s="1"/>
  <c r="M184" i="27"/>
  <c r="O152" i="32" s="1"/>
  <c r="L184" i="27"/>
  <c r="N152" i="32" s="1"/>
  <c r="K184" i="27"/>
  <c r="M152" i="32" s="1"/>
  <c r="J184" i="27"/>
  <c r="L152" i="32" s="1"/>
  <c r="I184" i="27"/>
  <c r="K152" i="32" s="1"/>
  <c r="H184" i="27"/>
  <c r="J152" i="32" s="1"/>
  <c r="G184" i="27"/>
  <c r="I152" i="32" s="1"/>
  <c r="F184" i="27"/>
  <c r="H152" i="32" s="1"/>
  <c r="E184" i="27"/>
  <c r="G152" i="32" s="1"/>
  <c r="D184" i="27"/>
  <c r="F152" i="32" s="1"/>
  <c r="C184" i="27"/>
  <c r="E152" i="32" s="1"/>
  <c r="B184" i="27"/>
  <c r="D152" i="32" s="1"/>
  <c r="A156" i="27"/>
  <c r="Y157" i="27"/>
  <c r="AA85" i="4" s="1"/>
  <c r="Z157" i="27"/>
  <c r="AB85" i="4" s="1"/>
  <c r="AA157" i="27"/>
  <c r="AC85" i="4" s="1"/>
  <c r="AB157" i="27"/>
  <c r="AD85" i="4" s="1"/>
  <c r="AC157" i="27"/>
  <c r="AE85" i="4" s="1"/>
  <c r="AD157" i="27"/>
  <c r="AF85" i="4" s="1"/>
  <c r="AE157" i="27"/>
  <c r="AG85" i="4" s="1"/>
  <c r="AF157" i="27"/>
  <c r="AH85" i="4" s="1"/>
  <c r="AG157" i="27"/>
  <c r="AI85" i="4" s="1"/>
  <c r="AH157" i="27"/>
  <c r="AJ85" i="4" s="1"/>
  <c r="AI157" i="27"/>
  <c r="AK85" i="4" s="1"/>
  <c r="AJ157" i="27"/>
  <c r="AL85" i="4" s="1"/>
  <c r="AK157" i="27"/>
  <c r="AM85" i="4" s="1"/>
  <c r="AL157" i="27"/>
  <c r="AN85" i="4" s="1"/>
  <c r="AM157" i="27"/>
  <c r="AO85" i="4" s="1"/>
  <c r="AN157" i="27"/>
  <c r="AP85" i="4" s="1"/>
  <c r="AO157" i="27"/>
  <c r="AQ85" i="4" s="1"/>
  <c r="AP157" i="27"/>
  <c r="AR85" i="4" s="1"/>
  <c r="X157" i="27"/>
  <c r="Z85" i="4" s="1"/>
  <c r="W157" i="27"/>
  <c r="Y85" i="4" s="1"/>
  <c r="V157" i="27"/>
  <c r="X85" i="4" s="1"/>
  <c r="U157" i="27"/>
  <c r="W85" i="4" s="1"/>
  <c r="T157" i="27"/>
  <c r="V85" i="4" s="1"/>
  <c r="S157" i="27"/>
  <c r="U85" i="4" s="1"/>
  <c r="R157" i="27"/>
  <c r="T85" i="4" s="1"/>
  <c r="Q157" i="27"/>
  <c r="S85" i="4" s="1"/>
  <c r="P157" i="27"/>
  <c r="R85" i="4" s="1"/>
  <c r="O157" i="27"/>
  <c r="Q85" i="4" s="1"/>
  <c r="N157" i="27"/>
  <c r="P85" i="4" s="1"/>
  <c r="M157" i="27"/>
  <c r="O85" i="4" s="1"/>
  <c r="L157" i="27"/>
  <c r="N85" i="4" s="1"/>
  <c r="K157" i="27"/>
  <c r="M85" i="4" s="1"/>
  <c r="J157" i="27"/>
  <c r="L85" i="4" s="1"/>
  <c r="I157" i="27"/>
  <c r="K85" i="4" s="1"/>
  <c r="H157" i="27"/>
  <c r="J85" i="4" s="1"/>
  <c r="G157" i="27"/>
  <c r="I85" i="4" s="1"/>
  <c r="F157" i="27"/>
  <c r="H85" i="4" s="1"/>
  <c r="E157" i="27"/>
  <c r="G85" i="4" s="1"/>
  <c r="D157" i="27"/>
  <c r="F85" i="4" s="1"/>
  <c r="C157" i="27"/>
  <c r="E85" i="4" s="1"/>
  <c r="B157" i="27"/>
  <c r="D85" i="4" s="1"/>
  <c r="D42" i="4" s="1" a="1"/>
  <c r="A199" i="27"/>
  <c r="B200" i="27"/>
  <c r="D153" i="32" s="1"/>
  <c r="AP200" i="27"/>
  <c r="AR153" i="32" s="1"/>
  <c r="AO200" i="27"/>
  <c r="AQ153" i="32" s="1"/>
  <c r="AN200" i="27"/>
  <c r="AP153" i="32" s="1"/>
  <c r="AM200" i="27"/>
  <c r="AO153" i="32" s="1"/>
  <c r="AL200" i="27"/>
  <c r="AN153" i="32" s="1"/>
  <c r="AK200" i="27"/>
  <c r="AM153" i="32" s="1"/>
  <c r="AJ200" i="27"/>
  <c r="AL153" i="32" s="1"/>
  <c r="AI200" i="27"/>
  <c r="AK153" i="32" s="1"/>
  <c r="AH200" i="27"/>
  <c r="AJ153" i="32" s="1"/>
  <c r="AG200" i="27"/>
  <c r="AI153" i="32" s="1"/>
  <c r="AF200" i="27"/>
  <c r="AH153" i="32" s="1"/>
  <c r="AE200" i="27"/>
  <c r="AG153" i="32" s="1"/>
  <c r="AD200" i="27"/>
  <c r="AF153" i="32" s="1"/>
  <c r="AC200" i="27"/>
  <c r="AE153" i="32" s="1"/>
  <c r="AB200" i="27"/>
  <c r="AD153" i="32" s="1"/>
  <c r="AA200" i="27"/>
  <c r="AC153" i="32" s="1"/>
  <c r="Z200" i="27"/>
  <c r="AB153" i="32" s="1"/>
  <c r="Y200" i="27"/>
  <c r="AA153" i="32" s="1"/>
  <c r="X200" i="27"/>
  <c r="Z153" i="32" s="1"/>
  <c r="W200" i="27"/>
  <c r="Y153" i="32" s="1"/>
  <c r="V200" i="27"/>
  <c r="X153" i="32" s="1"/>
  <c r="U200" i="27"/>
  <c r="W153" i="32" s="1"/>
  <c r="T200" i="27"/>
  <c r="V153" i="32" s="1"/>
  <c r="S200" i="27"/>
  <c r="U153" i="32" s="1"/>
  <c r="R200" i="27"/>
  <c r="T153" i="32" s="1"/>
  <c r="Q200" i="27"/>
  <c r="S153" i="32" s="1"/>
  <c r="P200" i="27"/>
  <c r="R153" i="32" s="1"/>
  <c r="O200" i="27"/>
  <c r="Q153" i="32" s="1"/>
  <c r="N200" i="27"/>
  <c r="P153" i="32" s="1"/>
  <c r="M200" i="27"/>
  <c r="O153" i="32" s="1"/>
  <c r="L200" i="27"/>
  <c r="N153" i="32" s="1"/>
  <c r="K200" i="27"/>
  <c r="M153" i="32" s="1"/>
  <c r="J200" i="27"/>
  <c r="L153" i="32" s="1"/>
  <c r="I200" i="27"/>
  <c r="K153" i="32" s="1"/>
  <c r="H200" i="27"/>
  <c r="J153" i="32" s="1"/>
  <c r="G200" i="27"/>
  <c r="I153" i="32" s="1"/>
  <c r="F200" i="27"/>
  <c r="H153" i="32" s="1"/>
  <c r="E200" i="27"/>
  <c r="G153" i="32" s="1"/>
  <c r="D200" i="27"/>
  <c r="F153" i="32" s="1"/>
  <c r="C200" i="27"/>
  <c r="E153" i="32" s="1"/>
  <c r="A172" i="27"/>
  <c r="C173" i="27"/>
  <c r="E86" i="4" s="1"/>
  <c r="D173" i="27"/>
  <c r="F86" i="4" s="1"/>
  <c r="E173" i="27"/>
  <c r="G86" i="4" s="1"/>
  <c r="F173" i="27"/>
  <c r="H86" i="4" s="1"/>
  <c r="G173" i="27"/>
  <c r="I86" i="4" s="1"/>
  <c r="H173" i="27"/>
  <c r="J86" i="4" s="1"/>
  <c r="I173" i="27"/>
  <c r="K86" i="4" s="1"/>
  <c r="J173" i="27"/>
  <c r="L86" i="4" s="1"/>
  <c r="K173" i="27"/>
  <c r="M86" i="4" s="1"/>
  <c r="L173" i="27"/>
  <c r="N86" i="4" s="1"/>
  <c r="M173" i="27"/>
  <c r="O86" i="4" s="1"/>
  <c r="N173" i="27"/>
  <c r="P86" i="4" s="1"/>
  <c r="O173" i="27"/>
  <c r="Q86" i="4" s="1"/>
  <c r="P173" i="27"/>
  <c r="R86" i="4" s="1"/>
  <c r="Q173" i="27"/>
  <c r="S86" i="4" s="1"/>
  <c r="R173" i="27"/>
  <c r="T86" i="4" s="1"/>
  <c r="S173" i="27"/>
  <c r="U86" i="4" s="1"/>
  <c r="T173" i="27"/>
  <c r="V86" i="4" s="1"/>
  <c r="U173" i="27"/>
  <c r="W86" i="4" s="1"/>
  <c r="V173" i="27"/>
  <c r="X86" i="4" s="1"/>
  <c r="W173" i="27"/>
  <c r="Y86" i="4" s="1"/>
  <c r="X173" i="27"/>
  <c r="Z86" i="4" s="1"/>
  <c r="Y173" i="27"/>
  <c r="AA86" i="4" s="1"/>
  <c r="Z173" i="27"/>
  <c r="AB86" i="4" s="1"/>
  <c r="AA173" i="27"/>
  <c r="AC86" i="4" s="1"/>
  <c r="AB173" i="27"/>
  <c r="AD86" i="4" s="1"/>
  <c r="AC173" i="27"/>
  <c r="AE86" i="4" s="1"/>
  <c r="AD173" i="27"/>
  <c r="AF86" i="4" s="1"/>
  <c r="AE173" i="27"/>
  <c r="AG86" i="4" s="1"/>
  <c r="AF173" i="27"/>
  <c r="AH86" i="4" s="1"/>
  <c r="AG173" i="27"/>
  <c r="AI86" i="4" s="1"/>
  <c r="AH173" i="27"/>
  <c r="AJ86" i="4" s="1"/>
  <c r="AI173" i="27"/>
  <c r="AK86" i="4" s="1"/>
  <c r="AJ173" i="27"/>
  <c r="AL86" i="4" s="1"/>
  <c r="AK173" i="27"/>
  <c r="AM86" i="4" s="1"/>
  <c r="AL173" i="27"/>
  <c r="AN86" i="4" s="1"/>
  <c r="AM173" i="27"/>
  <c r="AO86" i="4" s="1"/>
  <c r="AN173" i="27"/>
  <c r="AP86" i="4" s="1"/>
  <c r="AO173" i="27"/>
  <c r="AQ86" i="4" s="1"/>
  <c r="AP173" i="27"/>
  <c r="AR86" i="4" s="1"/>
  <c r="B173" i="27"/>
  <c r="D86" i="4" s="1"/>
  <c r="E42" i="4" s="1" a="1"/>
  <c r="A205" i="27"/>
  <c r="AQ81" i="23"/>
  <c r="D81" i="23"/>
  <c r="E81" i="23"/>
  <c r="F81" i="23"/>
  <c r="G81" i="23"/>
  <c r="H81" i="23"/>
  <c r="I81" i="23"/>
  <c r="J81" i="23"/>
  <c r="K81" i="23"/>
  <c r="L81" i="23"/>
  <c r="M81" i="23"/>
  <c r="N81" i="23"/>
  <c r="O81" i="23"/>
  <c r="P81" i="23"/>
  <c r="Q81" i="23"/>
  <c r="R81" i="23"/>
  <c r="S81" i="23"/>
  <c r="T81" i="23"/>
  <c r="U81" i="23"/>
  <c r="V81" i="23"/>
  <c r="W81" i="23"/>
  <c r="X81" i="23"/>
  <c r="Y81" i="23"/>
  <c r="Z81" i="23"/>
  <c r="AA81" i="23"/>
  <c r="AB81" i="23"/>
  <c r="AC81" i="23"/>
  <c r="AD81" i="23"/>
  <c r="AE81" i="23"/>
  <c r="AF81" i="23"/>
  <c r="AG81" i="23"/>
  <c r="AH81" i="23"/>
  <c r="AI81" i="23"/>
  <c r="AJ81" i="23"/>
  <c r="AK81" i="23"/>
  <c r="AL81" i="23"/>
  <c r="AM81" i="23"/>
  <c r="AN81" i="23"/>
  <c r="AO81" i="23"/>
  <c r="AP81" i="23"/>
  <c r="C81" i="23"/>
  <c r="C39" i="23" s="1" a="1"/>
  <c r="C39" i="23" s="1"/>
  <c r="A67" i="6"/>
  <c r="A82" i="1"/>
  <c r="A68" i="6" l="1"/>
  <c r="J39" i="23" a="1"/>
  <c r="J39" i="23" s="1"/>
  <c r="Q15" i="21" a="1"/>
  <c r="E42" i="4"/>
  <c r="C21" i="18" s="1"/>
  <c r="C26" i="18"/>
  <c r="C25" i="18"/>
  <c r="C24" i="18"/>
  <c r="C23" i="18"/>
  <c r="C22" i="18"/>
  <c r="D42" i="4"/>
  <c r="B26" i="18"/>
  <c r="B25" i="18"/>
  <c r="B24" i="18"/>
  <c r="B23" i="18"/>
  <c r="B22" i="18"/>
  <c r="D109" i="32" a="1"/>
  <c r="D109" i="32" s="1"/>
  <c r="I109" i="32" s="1" a="1"/>
  <c r="D83" i="3"/>
  <c r="D82" i="3"/>
  <c r="E83" i="3"/>
  <c r="E82" i="3"/>
  <c r="F83" i="3"/>
  <c r="F82" i="3"/>
  <c r="G83" i="3"/>
  <c r="G82" i="3"/>
  <c r="H83" i="3"/>
  <c r="H82" i="3"/>
  <c r="I83" i="3"/>
  <c r="I82" i="3"/>
  <c r="J83" i="3"/>
  <c r="J82" i="3"/>
  <c r="K83" i="3"/>
  <c r="K82" i="3"/>
  <c r="L83" i="3"/>
  <c r="L82" i="3"/>
  <c r="M83" i="3"/>
  <c r="M82" i="3"/>
  <c r="N83" i="3"/>
  <c r="N82" i="3"/>
  <c r="O83" i="3"/>
  <c r="O82" i="3"/>
  <c r="P83" i="3"/>
  <c r="P82" i="3"/>
  <c r="Q83" i="3"/>
  <c r="Q82" i="3"/>
  <c r="R83" i="3"/>
  <c r="R82" i="3"/>
  <c r="S83" i="3"/>
  <c r="S82" i="3"/>
  <c r="T83" i="3"/>
  <c r="T82" i="3"/>
  <c r="U83" i="3"/>
  <c r="U82" i="3"/>
  <c r="V83" i="3"/>
  <c r="V82" i="3"/>
  <c r="W83" i="3"/>
  <c r="W82" i="3"/>
  <c r="X83" i="3"/>
  <c r="X82" i="3"/>
  <c r="Y83" i="3"/>
  <c r="Y82" i="3"/>
  <c r="Z83" i="3"/>
  <c r="Z82" i="3"/>
  <c r="AA83" i="3"/>
  <c r="AA82" i="3"/>
  <c r="AB83" i="3"/>
  <c r="AB82" i="3"/>
  <c r="AC83" i="3"/>
  <c r="AC82" i="3"/>
  <c r="AD83" i="3"/>
  <c r="AD82" i="3"/>
  <c r="AE83" i="3"/>
  <c r="AE82" i="3"/>
  <c r="AF83" i="3"/>
  <c r="AF82" i="3"/>
  <c r="AG83" i="3"/>
  <c r="AG82" i="3"/>
  <c r="AH83" i="3"/>
  <c r="AH82" i="3"/>
  <c r="AI83" i="3"/>
  <c r="AI82" i="3"/>
  <c r="AJ83" i="3"/>
  <c r="AJ82" i="3"/>
  <c r="AK83" i="3"/>
  <c r="AK82" i="3"/>
  <c r="AL83" i="3"/>
  <c r="AL82" i="3"/>
  <c r="AM83" i="3"/>
  <c r="AM82" i="3"/>
  <c r="AN83" i="3"/>
  <c r="AN82" i="3"/>
  <c r="AO83" i="3"/>
  <c r="AO82" i="3"/>
  <c r="AP83" i="3"/>
  <c r="AP82" i="3"/>
  <c r="AQ83" i="3"/>
  <c r="AQ82" i="3"/>
  <c r="AR83" i="3"/>
  <c r="AR82" i="3"/>
  <c r="D101" i="32"/>
  <c r="D100" i="32"/>
  <c r="E101" i="32"/>
  <c r="E100" i="32"/>
  <c r="F101" i="32"/>
  <c r="F100" i="32"/>
  <c r="G101" i="32"/>
  <c r="G100" i="32"/>
  <c r="H101" i="32"/>
  <c r="H100" i="32"/>
  <c r="I101" i="32"/>
  <c r="I100" i="32"/>
  <c r="J101" i="32"/>
  <c r="J100" i="32"/>
  <c r="K101" i="32"/>
  <c r="K100" i="32"/>
  <c r="L101" i="32"/>
  <c r="L100" i="32"/>
  <c r="M101" i="32"/>
  <c r="M100" i="32"/>
  <c r="N101" i="32"/>
  <c r="N100" i="32"/>
  <c r="O101" i="32"/>
  <c r="O100" i="32"/>
  <c r="P101" i="32"/>
  <c r="P100" i="32"/>
  <c r="Q101" i="32"/>
  <c r="Q100" i="32"/>
  <c r="R101" i="32"/>
  <c r="R100" i="32"/>
  <c r="S101" i="32"/>
  <c r="S100" i="32"/>
  <c r="T101" i="32"/>
  <c r="T100" i="32"/>
  <c r="U101" i="32"/>
  <c r="U100" i="32"/>
  <c r="V101" i="32"/>
  <c r="V100" i="32"/>
  <c r="W101" i="32"/>
  <c r="W100" i="32"/>
  <c r="X101" i="32"/>
  <c r="X100" i="32"/>
  <c r="Y101" i="32"/>
  <c r="Y100" i="32"/>
  <c r="Z101" i="32"/>
  <c r="Z100" i="32"/>
  <c r="AA101" i="32"/>
  <c r="AA100" i="32"/>
  <c r="AB101" i="32"/>
  <c r="AB100" i="32"/>
  <c r="AC101" i="32"/>
  <c r="AC100" i="32"/>
  <c r="AD101" i="32"/>
  <c r="AD100" i="32"/>
  <c r="AE101" i="32"/>
  <c r="AE100" i="32"/>
  <c r="AF101" i="32"/>
  <c r="AF100" i="32"/>
  <c r="AG101" i="32"/>
  <c r="AG100" i="32"/>
  <c r="AH101" i="32"/>
  <c r="AH100" i="32"/>
  <c r="AI101" i="32"/>
  <c r="AI100" i="32"/>
  <c r="AJ101" i="32"/>
  <c r="AJ100" i="32"/>
  <c r="AK101" i="32"/>
  <c r="AK100" i="32"/>
  <c r="AL101" i="32"/>
  <c r="AL100" i="32"/>
  <c r="AM101" i="32"/>
  <c r="AM100" i="32"/>
  <c r="AN101" i="32"/>
  <c r="AN100" i="32"/>
  <c r="AO101" i="32"/>
  <c r="AO100" i="32"/>
  <c r="AP101" i="32"/>
  <c r="AP100" i="32"/>
  <c r="AQ101" i="32"/>
  <c r="AQ100" i="32"/>
  <c r="AR101" i="32"/>
  <c r="AR100" i="32"/>
  <c r="D51" i="32"/>
  <c r="D50" i="32"/>
  <c r="E51" i="32"/>
  <c r="E50" i="32"/>
  <c r="F51" i="32"/>
  <c r="F50" i="32"/>
  <c r="G51" i="32"/>
  <c r="G50" i="32"/>
  <c r="H51" i="32"/>
  <c r="H50" i="32"/>
  <c r="I51" i="32"/>
  <c r="I50" i="32"/>
  <c r="J51" i="32"/>
  <c r="J50" i="32"/>
  <c r="K51" i="32"/>
  <c r="K50" i="32"/>
  <c r="L51" i="32"/>
  <c r="L50" i="32"/>
  <c r="M51" i="32"/>
  <c r="M50" i="32"/>
  <c r="N51" i="32"/>
  <c r="N50" i="32"/>
  <c r="O51" i="32"/>
  <c r="O50" i="32"/>
  <c r="P51" i="32"/>
  <c r="P50" i="32"/>
  <c r="Q51" i="32"/>
  <c r="Q50" i="32"/>
  <c r="R51" i="32"/>
  <c r="R50" i="32"/>
  <c r="S51" i="32"/>
  <c r="S50" i="32"/>
  <c r="T51" i="32"/>
  <c r="T50" i="32"/>
  <c r="U51" i="32"/>
  <c r="U50" i="32"/>
  <c r="V51" i="32"/>
  <c r="V50" i="32"/>
  <c r="W51" i="32"/>
  <c r="W50" i="32"/>
  <c r="X51" i="32"/>
  <c r="X50" i="32"/>
  <c r="Y51" i="32"/>
  <c r="Y50" i="32"/>
  <c r="Z51" i="32"/>
  <c r="Z50" i="32"/>
  <c r="AA51" i="32"/>
  <c r="AA50" i="32"/>
  <c r="AB51" i="32"/>
  <c r="AB50" i="32"/>
  <c r="AC51" i="32"/>
  <c r="AC50" i="32"/>
  <c r="AD51" i="32"/>
  <c r="AD50" i="32"/>
  <c r="AE51" i="32"/>
  <c r="AE50" i="32"/>
  <c r="AF51" i="32"/>
  <c r="AF50" i="32"/>
  <c r="AG51" i="32"/>
  <c r="AG50" i="32"/>
  <c r="AH51" i="32"/>
  <c r="AH50" i="32"/>
  <c r="AI51" i="32"/>
  <c r="AI50" i="32"/>
  <c r="AJ51" i="32"/>
  <c r="AJ50" i="32"/>
  <c r="AK51" i="32"/>
  <c r="AK50" i="32"/>
  <c r="AL51" i="32"/>
  <c r="AL50" i="32"/>
  <c r="AM51" i="32"/>
  <c r="AM50" i="32"/>
  <c r="AN51" i="32"/>
  <c r="AN50" i="32"/>
  <c r="AO51" i="32"/>
  <c r="AO50" i="32"/>
  <c r="AP51" i="32"/>
  <c r="AP50" i="32"/>
  <c r="AQ51" i="32"/>
  <c r="AQ50" i="32"/>
  <c r="AR51" i="32"/>
  <c r="AR50" i="32"/>
  <c r="A162" i="31" a="1"/>
  <c r="A162" i="31" s="1"/>
  <c r="I161" i="32"/>
  <c r="A208" i="31" a="1"/>
  <c r="A208" i="31" s="1"/>
  <c r="I212" i="32"/>
  <c r="A83" i="1"/>
  <c r="D8" i="32" l="1" a="1"/>
  <c r="D8" i="32" s="1"/>
  <c r="E8" i="32" a="1"/>
  <c r="E8" i="32" s="1"/>
  <c r="D56" i="32" a="1"/>
  <c r="E56" i="32" a="1"/>
  <c r="E56" i="32" s="1"/>
  <c r="D40" i="3" a="1"/>
  <c r="E40" i="3" a="1"/>
  <c r="A112" i="31" a="1"/>
  <c r="A112" i="31" s="1"/>
  <c r="I109" i="32"/>
  <c r="J42" i="4" a="1"/>
  <c r="Q15" i="19" a="1"/>
  <c r="Q15" i="19" s="1"/>
  <c r="B21" i="18"/>
  <c r="G33" i="20"/>
  <c r="G34" i="20"/>
  <c r="G35" i="20"/>
  <c r="G36" i="20"/>
  <c r="G37" i="20"/>
  <c r="G38" i="20"/>
  <c r="G39" i="20"/>
  <c r="G40" i="20"/>
  <c r="G32" i="20"/>
  <c r="B26" i="20"/>
  <c r="B25" i="20"/>
  <c r="B24" i="20"/>
  <c r="B23" i="20"/>
  <c r="B22" i="20"/>
  <c r="B21" i="20"/>
  <c r="Q15" i="21"/>
  <c r="A69" i="6"/>
  <c r="A84" i="1"/>
  <c r="A70" i="6" l="1"/>
  <c r="H40" i="18"/>
  <c r="H39" i="18"/>
  <c r="H38" i="18"/>
  <c r="H37" i="18"/>
  <c r="H36" i="18"/>
  <c r="H35" i="18"/>
  <c r="H34" i="18"/>
  <c r="H33" i="18"/>
  <c r="G40" i="18"/>
  <c r="G39" i="18"/>
  <c r="G38" i="18"/>
  <c r="G37" i="18"/>
  <c r="G36" i="18"/>
  <c r="G35" i="18"/>
  <c r="G34" i="18"/>
  <c r="G33" i="18"/>
  <c r="H32" i="18"/>
  <c r="G32" i="18"/>
  <c r="J42" i="4"/>
  <c r="A8" i="12" a="1"/>
  <c r="A8" i="12" s="1"/>
  <c r="E40" i="3"/>
  <c r="B21" i="13" s="1"/>
  <c r="B22" i="13"/>
  <c r="B23" i="13"/>
  <c r="B24" i="13"/>
  <c r="B25" i="13"/>
  <c r="B26" i="13"/>
  <c r="D40" i="3"/>
  <c r="C26" i="13"/>
  <c r="C25" i="13"/>
  <c r="C24" i="13"/>
  <c r="C23" i="13"/>
  <c r="C22" i="13"/>
  <c r="D56" i="32"/>
  <c r="I57" i="32" a="1"/>
  <c r="I8" i="32" a="1"/>
  <c r="A85" i="1"/>
  <c r="I8" i="32" l="1"/>
  <c r="A62" i="31" a="1"/>
  <c r="A62" i="31" s="1"/>
  <c r="I57" i="32"/>
  <c r="A11" i="31" a="1"/>
  <c r="A11" i="31" s="1"/>
  <c r="I40" i="3" a="1"/>
  <c r="Q15" i="16" a="1"/>
  <c r="Q15" i="16" s="1"/>
  <c r="C21" i="13"/>
  <c r="A71" i="6"/>
  <c r="A86" i="1"/>
  <c r="A72" i="6" l="1"/>
  <c r="H40" i="13"/>
  <c r="H36" i="13"/>
  <c r="H39" i="13"/>
  <c r="H34" i="13"/>
  <c r="G32" i="13"/>
  <c r="H32" i="13"/>
  <c r="G38" i="13"/>
  <c r="H33" i="13"/>
  <c r="H35" i="13"/>
  <c r="H37" i="13"/>
  <c r="G40" i="13"/>
  <c r="G39" i="13"/>
  <c r="G34" i="13"/>
  <c r="G36" i="13"/>
  <c r="G33" i="13"/>
  <c r="G35" i="13"/>
  <c r="G37" i="13"/>
  <c r="H38" i="13"/>
  <c r="I40" i="3"/>
  <c r="A11" i="10" a="1"/>
  <c r="A11" i="10" s="1"/>
  <c r="A87" i="1"/>
  <c r="A73" i="6" l="1"/>
  <c r="A88" i="1"/>
  <c r="A74" i="6" l="1"/>
  <c r="A89" i="1"/>
  <c r="A75" i="6" l="1"/>
  <c r="A90" i="1"/>
  <c r="A76" i="6" l="1"/>
  <c r="A91" i="1"/>
  <c r="A77" i="6" l="1"/>
  <c r="A92" i="1"/>
  <c r="A78" i="6" l="1"/>
  <c r="A93" i="1"/>
  <c r="A79" i="6" l="1"/>
  <c r="A94" i="1"/>
  <c r="A80" i="6" l="1"/>
  <c r="A95" i="1"/>
  <c r="A81" i="6" l="1"/>
  <c r="A96" i="1"/>
  <c r="A82" i="6" l="1"/>
  <c r="A97" i="1"/>
  <c r="A83" i="6" l="1"/>
  <c r="A98" i="1"/>
  <c r="A84" i="6" l="1"/>
  <c r="A99" i="1"/>
  <c r="A85" i="6" l="1"/>
  <c r="A100" i="1"/>
  <c r="A86" i="6" l="1"/>
  <c r="A101" i="1"/>
  <c r="A87" i="6" l="1"/>
  <c r="A102" i="1"/>
  <c r="A88" i="6" l="1"/>
  <c r="A103" i="1"/>
  <c r="A89" i="6" l="1"/>
  <c r="A104" i="1"/>
  <c r="A90" i="6" l="1"/>
  <c r="A105" i="1"/>
  <c r="A91" i="6" l="1"/>
  <c r="A106" i="1"/>
  <c r="A92" i="6" l="1"/>
  <c r="H47" i="21" a="1"/>
  <c r="H47" i="21" s="1"/>
  <c r="G47" i="21" a="1"/>
  <c r="G47" i="21" s="1"/>
  <c r="F47" i="21" a="1"/>
  <c r="F47" i="21" s="1"/>
  <c r="E47" i="21" a="1"/>
  <c r="E47" i="21" s="1"/>
  <c r="D47" i="21" a="1"/>
  <c r="D47" i="21" s="1"/>
  <c r="H48" i="21" a="1"/>
  <c r="H48" i="21" s="1"/>
  <c r="G48" i="21" a="1"/>
  <c r="G48" i="21" s="1"/>
  <c r="F48" i="21" a="1"/>
  <c r="F48" i="21" s="1"/>
  <c r="E48" i="21" a="1"/>
  <c r="E48" i="21" s="1"/>
  <c r="D48" i="21" a="1"/>
  <c r="D48" i="21" s="1"/>
  <c r="H49" i="21" a="1"/>
  <c r="H49" i="21" s="1"/>
  <c r="G49" i="21" a="1"/>
  <c r="G49" i="21" s="1"/>
  <c r="F49" i="21" a="1"/>
  <c r="F49" i="21" s="1"/>
  <c r="E53" i="21" a="1"/>
  <c r="E53" i="21" s="1"/>
  <c r="D53" i="21" a="1"/>
  <c r="D53" i="21" s="1"/>
  <c r="H54" i="21" a="1"/>
  <c r="H54" i="21" s="1"/>
  <c r="G54" i="21" a="1"/>
  <c r="G54" i="21" s="1"/>
  <c r="F54" i="21" a="1"/>
  <c r="F54" i="21" s="1"/>
  <c r="E54" i="21" a="1"/>
  <c r="E54" i="21" s="1"/>
  <c r="D54" i="21" a="1"/>
  <c r="D54" i="21" s="1"/>
  <c r="F55" i="21" a="1"/>
  <c r="F55" i="21" s="1"/>
  <c r="E55" i="21" a="1"/>
  <c r="E55" i="21" s="1"/>
  <c r="D55" i="21" a="1"/>
  <c r="D55" i="21" s="1"/>
  <c r="G55" i="21" a="1"/>
  <c r="G55" i="21" s="1"/>
  <c r="H55" i="21" a="1"/>
  <c r="H55" i="21" s="1"/>
  <c r="F56" i="21" a="1"/>
  <c r="F56" i="21" s="1"/>
  <c r="E56" i="21" a="1"/>
  <c r="E56" i="21" s="1"/>
  <c r="D56" i="21" a="1"/>
  <c r="D56" i="21" s="1"/>
  <c r="G56" i="21" a="1"/>
  <c r="G56" i="21" s="1"/>
  <c r="H56" i="21" a="1"/>
  <c r="H56" i="21" s="1"/>
  <c r="F57" i="21" a="1"/>
  <c r="F57" i="21" s="1"/>
  <c r="E57" i="21" a="1"/>
  <c r="E57" i="21" s="1"/>
  <c r="D57" i="21" a="1"/>
  <c r="D57" i="21" s="1"/>
  <c r="G57" i="21" a="1"/>
  <c r="G57" i="21" s="1"/>
  <c r="H57" i="21" a="1"/>
  <c r="H57" i="21" s="1"/>
  <c r="F58" i="21" a="1"/>
  <c r="F58" i="21" s="1"/>
  <c r="E58" i="21" a="1"/>
  <c r="E58" i="21" s="1"/>
  <c r="D58" i="21" a="1"/>
  <c r="D58" i="21" s="1"/>
  <c r="G58" i="21" a="1"/>
  <c r="G58" i="21" s="1"/>
  <c r="H58" i="21" a="1"/>
  <c r="H58" i="21" s="1"/>
  <c r="F59" i="21" a="1"/>
  <c r="F59" i="21" s="1"/>
  <c r="E59" i="21" a="1"/>
  <c r="E59" i="21" s="1"/>
  <c r="D59" i="21" a="1"/>
  <c r="D59" i="21" s="1"/>
  <c r="G59" i="21" a="1"/>
  <c r="G59" i="21" s="1"/>
  <c r="H59" i="21" a="1"/>
  <c r="H59" i="21" s="1"/>
  <c r="F60" i="21" a="1"/>
  <c r="F60" i="21" s="1"/>
  <c r="E60" i="21" a="1"/>
  <c r="E60" i="21" s="1"/>
  <c r="D60" i="21" a="1"/>
  <c r="D60" i="21" s="1"/>
  <c r="G60" i="21" a="1"/>
  <c r="G60" i="21" s="1"/>
  <c r="H60" i="21" a="1"/>
  <c r="H60" i="21" s="1"/>
  <c r="F61" i="21" a="1"/>
  <c r="F61" i="21" s="1"/>
  <c r="E61" i="21" a="1"/>
  <c r="E61" i="21" s="1"/>
  <c r="D61" i="21" a="1"/>
  <c r="D61" i="21" s="1"/>
  <c r="G61" i="21" a="1"/>
  <c r="G61" i="21" s="1"/>
  <c r="H61" i="21" a="1"/>
  <c r="H61" i="21" s="1"/>
  <c r="F62" i="21" a="1"/>
  <c r="F62" i="21" s="1"/>
  <c r="E62" i="21" a="1"/>
  <c r="E62" i="21" s="1"/>
  <c r="D62" i="21" a="1"/>
  <c r="D62" i="21" s="1"/>
  <c r="G62" i="21" a="1"/>
  <c r="G62" i="21" s="1"/>
  <c r="H62" i="21" a="1"/>
  <c r="H62" i="21" s="1"/>
  <c r="F63" i="21" a="1"/>
  <c r="F63" i="21" s="1"/>
  <c r="E63" i="21" a="1"/>
  <c r="E63" i="21" s="1"/>
  <c r="D63" i="21" a="1"/>
  <c r="D63" i="21" s="1"/>
  <c r="G63" i="21" a="1"/>
  <c r="G63" i="21" s="1"/>
  <c r="H63" i="21" a="1"/>
  <c r="H63" i="21" s="1"/>
  <c r="F64" i="21" a="1"/>
  <c r="F64" i="21" s="1"/>
  <c r="E64" i="21" a="1"/>
  <c r="E64" i="21" s="1"/>
  <c r="D64" i="21" a="1"/>
  <c r="D64" i="21" s="1"/>
  <c r="G64" i="21" a="1"/>
  <c r="G64" i="21" s="1"/>
  <c r="H64" i="21" a="1"/>
  <c r="H64" i="21" s="1"/>
  <c r="F65" i="21" a="1"/>
  <c r="F65" i="21" s="1"/>
  <c r="E65" i="21" a="1"/>
  <c r="E65" i="21" s="1"/>
  <c r="D65" i="21" a="1"/>
  <c r="D65" i="21" s="1"/>
  <c r="G65" i="21" a="1"/>
  <c r="G65" i="21" s="1"/>
  <c r="H65" i="21" a="1"/>
  <c r="H65" i="21" s="1"/>
  <c r="F66" i="21" a="1"/>
  <c r="F66" i="21" s="1"/>
  <c r="E66" i="21" a="1"/>
  <c r="E66" i="21" s="1"/>
  <c r="D66" i="21" a="1"/>
  <c r="D66" i="21" s="1"/>
  <c r="G66" i="21" a="1"/>
  <c r="G66" i="21" s="1"/>
  <c r="H66" i="21" a="1"/>
  <c r="H66" i="21" s="1"/>
  <c r="F67" i="21" a="1"/>
  <c r="F67" i="21" s="1"/>
  <c r="E67" i="21" a="1"/>
  <c r="E67" i="21" s="1"/>
  <c r="D67" i="21" a="1"/>
  <c r="D67" i="21" s="1"/>
  <c r="G67" i="21" a="1"/>
  <c r="G67" i="21" s="1"/>
  <c r="H67" i="21" a="1"/>
  <c r="H67" i="21" s="1"/>
  <c r="F68" i="21" a="1"/>
  <c r="F68" i="21" s="1"/>
  <c r="E68" i="21" a="1"/>
  <c r="E68" i="21" s="1"/>
  <c r="D68" i="21" a="1"/>
  <c r="D68" i="21" s="1"/>
  <c r="G68" i="21" a="1"/>
  <c r="G68" i="21" s="1"/>
  <c r="H68" i="21" a="1"/>
  <c r="H68" i="21" s="1"/>
  <c r="F69" i="21" a="1"/>
  <c r="F69" i="21" s="1"/>
  <c r="E69" i="21" a="1"/>
  <c r="E69" i="21" s="1"/>
  <c r="D69" i="21" a="1"/>
  <c r="D69" i="21" s="1"/>
  <c r="G69" i="21" a="1"/>
  <c r="G69" i="21" s="1"/>
  <c r="H69" i="21" a="1"/>
  <c r="H69" i="21" s="1"/>
  <c r="F70" i="21" a="1"/>
  <c r="F70" i="21" s="1"/>
  <c r="E70" i="21" a="1"/>
  <c r="E70" i="21" s="1"/>
  <c r="D70" i="21" a="1"/>
  <c r="D70" i="21" s="1"/>
  <c r="G70" i="21" a="1"/>
  <c r="G70" i="21" s="1"/>
  <c r="H70" i="21" a="1"/>
  <c r="H70" i="21" s="1"/>
  <c r="H71" i="21" a="1"/>
  <c r="H71" i="21" s="1"/>
  <c r="G71" i="21" a="1"/>
  <c r="G71" i="21" s="1"/>
  <c r="F71" i="21" a="1"/>
  <c r="F71" i="21" s="1"/>
  <c r="E71" i="21" a="1"/>
  <c r="E71" i="21" s="1"/>
  <c r="D71" i="21" a="1"/>
  <c r="D71" i="21" s="1"/>
  <c r="H72" i="21" a="1"/>
  <c r="H72" i="21" s="1"/>
  <c r="G72" i="21" a="1"/>
  <c r="G72" i="21" s="1"/>
  <c r="F72" i="21" a="1"/>
  <c r="F72" i="21" s="1"/>
  <c r="E72" i="21" a="1"/>
  <c r="E72" i="21" s="1"/>
  <c r="D72" i="21" a="1"/>
  <c r="D72" i="21" s="1"/>
  <c r="F16" i="21" a="1"/>
  <c r="F16" i="21" s="1"/>
  <c r="E16" i="21" a="1"/>
  <c r="E16" i="21" s="1"/>
  <c r="D16" i="21" a="1"/>
  <c r="D16" i="21" s="1"/>
  <c r="E25" i="19" a="1"/>
  <c r="E25" i="19" s="1"/>
  <c r="E25" i="16" a="1"/>
  <c r="E25" i="16" s="1"/>
  <c r="G16" i="21" a="1"/>
  <c r="G16" i="21" s="1"/>
  <c r="H16" i="21" a="1"/>
  <c r="H16" i="21" s="1"/>
  <c r="H16" i="16" a="1"/>
  <c r="H16" i="16" s="1"/>
  <c r="H17" i="16" a="1"/>
  <c r="H17" i="16" s="1"/>
  <c r="H18" i="16" a="1"/>
  <c r="H18" i="16" s="1"/>
  <c r="H19" i="16" a="1"/>
  <c r="H19" i="16" s="1"/>
  <c r="H20" i="16" a="1"/>
  <c r="H20" i="16" s="1"/>
  <c r="H21" i="16" a="1"/>
  <c r="H21" i="16" s="1"/>
  <c r="H22" i="16" a="1"/>
  <c r="H22" i="16" s="1"/>
  <c r="H23" i="16" a="1"/>
  <c r="H23" i="16" s="1"/>
  <c r="H24" i="16" a="1"/>
  <c r="H24" i="16" s="1"/>
  <c r="H25" i="16" a="1"/>
  <c r="H25" i="16" s="1"/>
  <c r="G16" i="16" a="1"/>
  <c r="G16" i="16" s="1"/>
  <c r="G17" i="16" a="1"/>
  <c r="G17" i="16" s="1"/>
  <c r="G18" i="16" a="1"/>
  <c r="G18" i="16" s="1"/>
  <c r="G19" i="16" a="1"/>
  <c r="G19" i="16" s="1"/>
  <c r="G20" i="16" a="1"/>
  <c r="G20" i="16" s="1"/>
  <c r="G21" i="16" a="1"/>
  <c r="G21" i="16" s="1"/>
  <c r="G22" i="16" a="1"/>
  <c r="G22" i="16" s="1"/>
  <c r="G23" i="16" a="1"/>
  <c r="G23" i="16" s="1"/>
  <c r="G24" i="16" a="1"/>
  <c r="G24" i="16" s="1"/>
  <c r="G25" i="16" a="1"/>
  <c r="G25" i="16" s="1"/>
  <c r="F27" i="19" a="1"/>
  <c r="F27" i="19" s="1"/>
  <c r="E27" i="19" a="1"/>
  <c r="E27" i="19" s="1"/>
  <c r="D27" i="19" a="1"/>
  <c r="D27" i="19" s="1"/>
  <c r="H27" i="19" a="1"/>
  <c r="H27" i="19" s="1"/>
  <c r="G27" i="19" a="1"/>
  <c r="G27" i="19" s="1"/>
  <c r="H26" i="19" a="1"/>
  <c r="H26" i="19" s="1"/>
  <c r="G26" i="19" a="1"/>
  <c r="G26" i="19" s="1"/>
  <c r="F26" i="19" a="1"/>
  <c r="F26" i="19" s="1"/>
  <c r="E26" i="19" a="1"/>
  <c r="E26" i="19" s="1"/>
  <c r="H25" i="19" a="1"/>
  <c r="H25" i="19" s="1"/>
  <c r="G25" i="19" a="1"/>
  <c r="G25" i="19" s="1"/>
  <c r="F25" i="19" a="1"/>
  <c r="F25" i="19" s="1"/>
  <c r="H24" i="19" a="1"/>
  <c r="H24" i="19" s="1"/>
  <c r="G24" i="19" a="1"/>
  <c r="G24" i="19" s="1"/>
  <c r="F24" i="19" a="1"/>
  <c r="F24" i="19" s="1"/>
  <c r="E24" i="19" a="1"/>
  <c r="E24" i="19" s="1"/>
  <c r="H23" i="19" a="1"/>
  <c r="H23" i="19" s="1"/>
  <c r="G23" i="19" a="1"/>
  <c r="G23" i="19" s="1"/>
  <c r="F23" i="19" a="1"/>
  <c r="F23" i="19" s="1"/>
  <c r="E23" i="19" a="1"/>
  <c r="E23" i="19" s="1"/>
  <c r="H22" i="19" a="1"/>
  <c r="H22" i="19" s="1"/>
  <c r="G22" i="19" a="1"/>
  <c r="G22" i="19" s="1"/>
  <c r="F22" i="19" a="1"/>
  <c r="F22" i="19" s="1"/>
  <c r="E22" i="19" a="1"/>
  <c r="E22" i="19" s="1"/>
  <c r="H21" i="19" a="1"/>
  <c r="H21" i="19" s="1"/>
  <c r="G21" i="19" a="1"/>
  <c r="G21" i="19" s="1"/>
  <c r="F21" i="19" a="1"/>
  <c r="F21" i="19" s="1"/>
  <c r="E21" i="19" a="1"/>
  <c r="E21" i="19" s="1"/>
  <c r="H20" i="19" a="1"/>
  <c r="H20" i="19" s="1"/>
  <c r="G20" i="19" a="1"/>
  <c r="G20" i="19" s="1"/>
  <c r="F20" i="19" a="1"/>
  <c r="F20" i="19" s="1"/>
  <c r="E20" i="19" a="1"/>
  <c r="E20" i="19" s="1"/>
  <c r="H19" i="19" a="1"/>
  <c r="H19" i="19" s="1"/>
  <c r="G19" i="19" a="1"/>
  <c r="G19" i="19" s="1"/>
  <c r="F19" i="19" a="1"/>
  <c r="F19" i="19" s="1"/>
  <c r="E19" i="19" a="1"/>
  <c r="E19" i="19" s="1"/>
  <c r="H18" i="19" a="1"/>
  <c r="H18" i="19" s="1"/>
  <c r="G18" i="19" a="1"/>
  <c r="G18" i="19" s="1"/>
  <c r="F18" i="19" a="1"/>
  <c r="F18" i="19" s="1"/>
  <c r="E18" i="19" a="1"/>
  <c r="E18" i="19" s="1"/>
  <c r="H17" i="19" a="1"/>
  <c r="H17" i="19" s="1"/>
  <c r="G17" i="19" a="1"/>
  <c r="G17" i="19" s="1"/>
  <c r="F17" i="19" a="1"/>
  <c r="F17" i="19" s="1"/>
  <c r="E17" i="19" a="1"/>
  <c r="E17" i="19" s="1"/>
  <c r="H16" i="19" a="1"/>
  <c r="H16" i="19" s="1"/>
  <c r="G16" i="19" a="1"/>
  <c r="G16" i="19" s="1"/>
  <c r="F16" i="19" a="1"/>
  <c r="F16" i="19" s="1"/>
  <c r="E16" i="19" a="1"/>
  <c r="E16" i="19" s="1"/>
  <c r="D17" i="19" a="1"/>
  <c r="D17" i="19" s="1"/>
  <c r="D18" i="19" a="1"/>
  <c r="D18" i="19" s="1"/>
  <c r="D19" i="19" a="1"/>
  <c r="D19" i="19" s="1"/>
  <c r="D20" i="19" a="1"/>
  <c r="D20" i="19" s="1"/>
  <c r="D21" i="19" a="1"/>
  <c r="D21" i="19" s="1"/>
  <c r="D22" i="19" a="1"/>
  <c r="D22" i="19" s="1"/>
  <c r="D23" i="19" a="1"/>
  <c r="D23" i="19" s="1"/>
  <c r="D24" i="19" a="1"/>
  <c r="D24" i="19" s="1"/>
  <c r="D25" i="19" a="1"/>
  <c r="D25" i="19" s="1"/>
  <c r="D26" i="19" a="1"/>
  <c r="D26" i="19" s="1"/>
  <c r="D16" i="19" a="1"/>
  <c r="D16" i="19" s="1"/>
  <c r="E16" i="16" a="1"/>
  <c r="E16" i="16" s="1"/>
  <c r="F16" i="16" a="1"/>
  <c r="F16" i="16" s="1"/>
  <c r="E17" i="16" a="1"/>
  <c r="E17" i="16" s="1"/>
  <c r="F17" i="16" a="1"/>
  <c r="F17" i="16" s="1"/>
  <c r="E18" i="16" a="1"/>
  <c r="E18" i="16" s="1"/>
  <c r="F18" i="16" a="1"/>
  <c r="F18" i="16" s="1"/>
  <c r="E19" i="16" a="1"/>
  <c r="E19" i="16" s="1"/>
  <c r="F19" i="16" a="1"/>
  <c r="F19" i="16" s="1"/>
  <c r="E20" i="16" a="1"/>
  <c r="E20" i="16" s="1"/>
  <c r="F20" i="16" a="1"/>
  <c r="F20" i="16" s="1"/>
  <c r="E21" i="16" a="1"/>
  <c r="E21" i="16" s="1"/>
  <c r="F21" i="16" a="1"/>
  <c r="F21" i="16" s="1"/>
  <c r="E22" i="16" a="1"/>
  <c r="E22" i="16" s="1"/>
  <c r="F22" i="16" a="1"/>
  <c r="F22" i="16" s="1"/>
  <c r="E23" i="16" a="1"/>
  <c r="E23" i="16" s="1"/>
  <c r="F23" i="16" a="1"/>
  <c r="F23" i="16" s="1"/>
  <c r="E24" i="16" a="1"/>
  <c r="E24" i="16" s="1"/>
  <c r="F24" i="16" a="1"/>
  <c r="F24" i="16" s="1"/>
  <c r="F25" i="16" a="1"/>
  <c r="F25" i="16" s="1"/>
  <c r="D17" i="16" a="1"/>
  <c r="D17" i="16" s="1"/>
  <c r="D18" i="16" a="1"/>
  <c r="D18" i="16" s="1"/>
  <c r="D19" i="16" a="1"/>
  <c r="D19" i="16" s="1"/>
  <c r="D20" i="16" a="1"/>
  <c r="D20" i="16" s="1"/>
  <c r="D21" i="16" a="1"/>
  <c r="D21" i="16" s="1"/>
  <c r="D22" i="16" a="1"/>
  <c r="D22" i="16" s="1"/>
  <c r="D23" i="16" a="1"/>
  <c r="D23" i="16" s="1"/>
  <c r="D24" i="16" a="1"/>
  <c r="D24" i="16" s="1"/>
  <c r="D25" i="16" a="1"/>
  <c r="D25" i="16" s="1"/>
  <c r="D16" i="16" a="1"/>
  <c r="D16" i="16" s="1"/>
  <c r="E26" i="16" a="1"/>
  <c r="E26" i="16" s="1"/>
  <c r="H26" i="16" a="1"/>
  <c r="H26" i="16" s="1"/>
  <c r="G26" i="16" a="1"/>
  <c r="G26" i="16" s="1"/>
  <c r="F26" i="16" a="1"/>
  <c r="F26" i="16" s="1"/>
  <c r="D26" i="16" a="1"/>
  <c r="D26" i="16" s="1"/>
  <c r="H27" i="16" a="1"/>
  <c r="H27" i="16" s="1"/>
  <c r="G27" i="16" a="1"/>
  <c r="G27" i="16" s="1"/>
  <c r="E27" i="16" a="1"/>
  <c r="E27" i="16" s="1"/>
  <c r="F27" i="16" a="1"/>
  <c r="F27" i="16" s="1"/>
  <c r="D27" i="16" a="1"/>
  <c r="D27" i="16" s="1"/>
  <c r="H28" i="16" a="1"/>
  <c r="H28" i="16" s="1"/>
  <c r="G28" i="16" a="1"/>
  <c r="G28" i="16" s="1"/>
  <c r="E28" i="16" a="1"/>
  <c r="E28" i="16" s="1"/>
  <c r="F28" i="16" a="1"/>
  <c r="F28" i="16" s="1"/>
  <c r="D28" i="16" a="1"/>
  <c r="D28" i="16" s="1"/>
  <c r="H29" i="16" a="1"/>
  <c r="H29" i="16" s="1"/>
  <c r="G29" i="16" a="1"/>
  <c r="G29" i="16" s="1"/>
  <c r="E29" i="16" a="1"/>
  <c r="E29" i="16" s="1"/>
  <c r="F29" i="16" a="1"/>
  <c r="F29" i="16" s="1"/>
  <c r="D29" i="16" a="1"/>
  <c r="D29" i="16" s="1"/>
  <c r="H30" i="16" a="1"/>
  <c r="H30" i="16" s="1"/>
  <c r="G30" i="16" a="1"/>
  <c r="G30" i="16" s="1"/>
  <c r="E30" i="16" a="1"/>
  <c r="E30" i="16" s="1"/>
  <c r="F30" i="16" a="1"/>
  <c r="F30" i="16" s="1"/>
  <c r="D30" i="16" a="1"/>
  <c r="D30" i="16" s="1"/>
  <c r="H31" i="16" a="1"/>
  <c r="H31" i="16" s="1"/>
  <c r="G31" i="16" a="1"/>
  <c r="G31" i="16" s="1"/>
  <c r="E31" i="16" a="1"/>
  <c r="E31" i="16" s="1"/>
  <c r="F31" i="16" a="1"/>
  <c r="F31" i="16" s="1"/>
  <c r="D31" i="16" a="1"/>
  <c r="D31" i="16" s="1"/>
  <c r="H32" i="16" a="1"/>
  <c r="H32" i="16" s="1"/>
  <c r="G32" i="16" a="1"/>
  <c r="G32" i="16" s="1"/>
  <c r="E32" i="16" a="1"/>
  <c r="E32" i="16" s="1"/>
  <c r="F32" i="16" a="1"/>
  <c r="F32" i="16" s="1"/>
  <c r="D32" i="16" a="1"/>
  <c r="D32" i="16" s="1"/>
  <c r="H33" i="16" a="1"/>
  <c r="H33" i="16" s="1"/>
  <c r="G33" i="16" a="1"/>
  <c r="G33" i="16" s="1"/>
  <c r="E33" i="16" a="1"/>
  <c r="E33" i="16" s="1"/>
  <c r="F33" i="16" a="1"/>
  <c r="F33" i="16" s="1"/>
  <c r="D33" i="16" a="1"/>
  <c r="D33" i="16" s="1"/>
  <c r="H34" i="16" a="1"/>
  <c r="H34" i="16" s="1"/>
  <c r="G34" i="16" a="1"/>
  <c r="G34" i="16" s="1"/>
  <c r="E34" i="16" a="1"/>
  <c r="E34" i="16" s="1"/>
  <c r="F34" i="16" a="1"/>
  <c r="F34" i="16" s="1"/>
  <c r="D34" i="16" a="1"/>
  <c r="D34" i="16" s="1"/>
  <c r="H35" i="16" a="1"/>
  <c r="H35" i="16" s="1"/>
  <c r="G35" i="16" a="1"/>
  <c r="G35" i="16" s="1"/>
  <c r="E35" i="16" a="1"/>
  <c r="E35" i="16" s="1"/>
  <c r="F35" i="16" a="1"/>
  <c r="F35" i="16" s="1"/>
  <c r="D35" i="16" a="1"/>
  <c r="D35" i="16" s="1"/>
  <c r="H36" i="16" a="1"/>
  <c r="H36" i="16" s="1"/>
  <c r="G36" i="16" a="1"/>
  <c r="G36" i="16" s="1"/>
  <c r="E36" i="16" a="1"/>
  <c r="E36" i="16" s="1"/>
  <c r="F36" i="16" a="1"/>
  <c r="F36" i="16" s="1"/>
  <c r="D36" i="16" a="1"/>
  <c r="D36" i="16" s="1"/>
  <c r="H37" i="16" a="1"/>
  <c r="H37" i="16" s="1"/>
  <c r="G37" i="16" a="1"/>
  <c r="G37" i="16" s="1"/>
  <c r="E37" i="16" a="1"/>
  <c r="E37" i="16" s="1"/>
  <c r="F37" i="16" a="1"/>
  <c r="F37" i="16" s="1"/>
  <c r="D37" i="16" a="1"/>
  <c r="D37" i="16" s="1"/>
  <c r="H38" i="16" a="1"/>
  <c r="H38" i="16" s="1"/>
  <c r="G38" i="16" a="1"/>
  <c r="G38" i="16" s="1"/>
  <c r="E38" i="16" a="1"/>
  <c r="E38" i="16" s="1"/>
  <c r="F38" i="16" a="1"/>
  <c r="F38" i="16" s="1"/>
  <c r="D38" i="16" a="1"/>
  <c r="D38" i="16" s="1"/>
  <c r="H39" i="16" a="1"/>
  <c r="H39" i="16" s="1"/>
  <c r="G39" i="16" a="1"/>
  <c r="G39" i="16" s="1"/>
  <c r="E39" i="16" a="1"/>
  <c r="E39" i="16" s="1"/>
  <c r="F39" i="16" a="1"/>
  <c r="F39" i="16" s="1"/>
  <c r="D39" i="16" a="1"/>
  <c r="D39" i="16" s="1"/>
  <c r="H40" i="16" a="1"/>
  <c r="H40" i="16" s="1"/>
  <c r="G40" i="16" a="1"/>
  <c r="G40" i="16" s="1"/>
  <c r="E40" i="16" a="1"/>
  <c r="E40" i="16" s="1"/>
  <c r="F40" i="16" a="1"/>
  <c r="F40" i="16" s="1"/>
  <c r="D40" i="16" a="1"/>
  <c r="D40" i="16" s="1"/>
  <c r="H41" i="16" a="1"/>
  <c r="H41" i="16" s="1"/>
  <c r="G41" i="16" a="1"/>
  <c r="G41" i="16" s="1"/>
  <c r="E41" i="16" a="1"/>
  <c r="E41" i="16" s="1"/>
  <c r="F41" i="16" a="1"/>
  <c r="F41" i="16" s="1"/>
  <c r="D41" i="16" a="1"/>
  <c r="D41" i="16" s="1"/>
  <c r="H42" i="16" a="1"/>
  <c r="H42" i="16" s="1"/>
  <c r="G42" i="16" a="1"/>
  <c r="G42" i="16" s="1"/>
  <c r="E42" i="16" a="1"/>
  <c r="E42" i="16" s="1"/>
  <c r="F42" i="16" a="1"/>
  <c r="F42" i="16" s="1"/>
  <c r="D42" i="16" a="1"/>
  <c r="D42" i="16" s="1"/>
  <c r="H43" i="16" a="1"/>
  <c r="H43" i="16" s="1"/>
  <c r="G43" i="16" a="1"/>
  <c r="G43" i="16" s="1"/>
  <c r="E43" i="16" a="1"/>
  <c r="E43" i="16" s="1"/>
  <c r="F43" i="16" a="1"/>
  <c r="F43" i="16" s="1"/>
  <c r="D43" i="16" a="1"/>
  <c r="D43" i="16" s="1"/>
  <c r="H44" i="16" a="1"/>
  <c r="H44" i="16" s="1"/>
  <c r="G44" i="16" a="1"/>
  <c r="G44" i="16" s="1"/>
  <c r="E44" i="16" a="1"/>
  <c r="E44" i="16" s="1"/>
  <c r="F44" i="16" a="1"/>
  <c r="F44" i="16" s="1"/>
  <c r="D44" i="16" a="1"/>
  <c r="D44" i="16" s="1"/>
  <c r="H45" i="16" a="1"/>
  <c r="H45" i="16" s="1"/>
  <c r="G45" i="16" a="1"/>
  <c r="G45" i="16" s="1"/>
  <c r="E45" i="16" a="1"/>
  <c r="E45" i="16" s="1"/>
  <c r="F45" i="16" a="1"/>
  <c r="F45" i="16" s="1"/>
  <c r="D45" i="16" a="1"/>
  <c r="D45" i="16" s="1"/>
  <c r="H46" i="16" a="1"/>
  <c r="H46" i="16" s="1"/>
  <c r="G46" i="16" a="1"/>
  <c r="G46" i="16" s="1"/>
  <c r="E46" i="16" a="1"/>
  <c r="E46" i="16" s="1"/>
  <c r="F46" i="16" a="1"/>
  <c r="F46" i="16" s="1"/>
  <c r="D46" i="16" a="1"/>
  <c r="D46" i="16" s="1"/>
  <c r="H47" i="16" a="1"/>
  <c r="H47" i="16" s="1"/>
  <c r="G47" i="16" a="1"/>
  <c r="G47" i="16" s="1"/>
  <c r="E47" i="16" a="1"/>
  <c r="E47" i="16" s="1"/>
  <c r="F47" i="16" a="1"/>
  <c r="F47" i="16" s="1"/>
  <c r="D47" i="16" a="1"/>
  <c r="D47" i="16" s="1"/>
  <c r="H48" i="16" a="1"/>
  <c r="H48" i="16" s="1"/>
  <c r="G48" i="16" a="1"/>
  <c r="G48" i="16" s="1"/>
  <c r="E48" i="16" a="1"/>
  <c r="E48" i="16" s="1"/>
  <c r="F48" i="16" a="1"/>
  <c r="F48" i="16" s="1"/>
  <c r="D48" i="16" a="1"/>
  <c r="D48" i="16" s="1"/>
  <c r="H49" i="16" a="1"/>
  <c r="H49" i="16" s="1"/>
  <c r="G49" i="16" a="1"/>
  <c r="G49" i="16" s="1"/>
  <c r="E49" i="16" a="1"/>
  <c r="E49" i="16" s="1"/>
  <c r="F49" i="16" a="1"/>
  <c r="F49" i="16" s="1"/>
  <c r="D49" i="16" a="1"/>
  <c r="D49" i="16" s="1"/>
  <c r="H50" i="16" a="1"/>
  <c r="H50" i="16" s="1"/>
  <c r="G50" i="16" a="1"/>
  <c r="G50" i="16" s="1"/>
  <c r="E50" i="16" a="1"/>
  <c r="E50" i="16" s="1"/>
  <c r="F50" i="16" a="1"/>
  <c r="F50" i="16" s="1"/>
  <c r="D50" i="16" a="1"/>
  <c r="D50" i="16" s="1"/>
  <c r="H51" i="16" a="1"/>
  <c r="H51" i="16" s="1"/>
  <c r="G51" i="16" a="1"/>
  <c r="G51" i="16" s="1"/>
  <c r="E51" i="16" a="1"/>
  <c r="E51" i="16" s="1"/>
  <c r="F51" i="16" a="1"/>
  <c r="F51" i="16" s="1"/>
  <c r="D51" i="16" a="1"/>
  <c r="D51" i="16" s="1"/>
  <c r="F17" i="21" a="1"/>
  <c r="F17" i="21" s="1"/>
  <c r="E17" i="21" a="1"/>
  <c r="E17" i="21" s="1"/>
  <c r="D17" i="21" a="1"/>
  <c r="D17" i="21" s="1"/>
  <c r="G17" i="21" a="1"/>
  <c r="G17" i="21" s="1"/>
  <c r="H17" i="21" a="1"/>
  <c r="H17" i="21" s="1"/>
  <c r="F18" i="21" a="1"/>
  <c r="F18" i="21" s="1"/>
  <c r="E18" i="21" a="1"/>
  <c r="E18" i="21" s="1"/>
  <c r="D18" i="21" a="1"/>
  <c r="D18" i="21" s="1"/>
  <c r="H18" i="21" a="1"/>
  <c r="H18" i="21" s="1"/>
  <c r="G18" i="21" a="1"/>
  <c r="G18" i="21" s="1"/>
  <c r="F19" i="21" a="1"/>
  <c r="F19" i="21" s="1"/>
  <c r="E19" i="21" a="1"/>
  <c r="E19" i="21" s="1"/>
  <c r="D19" i="21" a="1"/>
  <c r="D19" i="21" s="1"/>
  <c r="G19" i="21" a="1"/>
  <c r="G19" i="21" s="1"/>
  <c r="H19" i="21" a="1"/>
  <c r="H19" i="21" s="1"/>
  <c r="F20" i="21" a="1"/>
  <c r="F20" i="21" s="1"/>
  <c r="E20" i="21" a="1"/>
  <c r="E20" i="21" s="1"/>
  <c r="D20" i="21" a="1"/>
  <c r="D20" i="21" s="1"/>
  <c r="G20" i="21" a="1"/>
  <c r="G20" i="21" s="1"/>
  <c r="H20" i="21" a="1"/>
  <c r="H20" i="21" s="1"/>
  <c r="F21" i="21" a="1"/>
  <c r="F21" i="21" s="1"/>
  <c r="E21" i="21" a="1"/>
  <c r="E21" i="21" s="1"/>
  <c r="D21" i="21" a="1"/>
  <c r="D21" i="21" s="1"/>
  <c r="G21" i="21" a="1"/>
  <c r="G21" i="21" s="1"/>
  <c r="H21" i="21" a="1"/>
  <c r="H21" i="21" s="1"/>
  <c r="F22" i="21" a="1"/>
  <c r="F22" i="21" s="1"/>
  <c r="E22" i="21" a="1"/>
  <c r="E22" i="21" s="1"/>
  <c r="D22" i="21" a="1"/>
  <c r="D22" i="21" s="1"/>
  <c r="G22" i="21" a="1"/>
  <c r="G22" i="21" s="1"/>
  <c r="H22" i="21" a="1"/>
  <c r="H22" i="21" s="1"/>
  <c r="F23" i="21" a="1"/>
  <c r="F23" i="21" s="1"/>
  <c r="E23" i="21" a="1"/>
  <c r="E23" i="21" s="1"/>
  <c r="D23" i="21" a="1"/>
  <c r="D23" i="21" s="1"/>
  <c r="G23" i="21" a="1"/>
  <c r="G23" i="21" s="1"/>
  <c r="H23" i="21" a="1"/>
  <c r="H23" i="21" s="1"/>
  <c r="F24" i="21" a="1"/>
  <c r="F24" i="21" s="1"/>
  <c r="E24" i="21" a="1"/>
  <c r="E24" i="21" s="1"/>
  <c r="D24" i="21" a="1"/>
  <c r="D24" i="21" s="1"/>
  <c r="G24" i="21" a="1"/>
  <c r="G24" i="21" s="1"/>
  <c r="H24" i="21" a="1"/>
  <c r="H24" i="21" s="1"/>
  <c r="E25" i="21" a="1"/>
  <c r="E25" i="21" s="1"/>
  <c r="F25" i="21" a="1"/>
  <c r="F25" i="21" s="1"/>
  <c r="D25" i="21" a="1"/>
  <c r="D25" i="21" s="1"/>
  <c r="G25" i="21" a="1"/>
  <c r="G25" i="21" s="1"/>
  <c r="H25" i="21" a="1"/>
  <c r="H25" i="21" s="1"/>
  <c r="E26" i="21" a="1"/>
  <c r="E26" i="21" s="1"/>
  <c r="H26" i="21" a="1"/>
  <c r="H26" i="21" s="1"/>
  <c r="G26" i="21" a="1"/>
  <c r="G26" i="21" s="1"/>
  <c r="F26" i="21" a="1"/>
  <c r="F26" i="21" s="1"/>
  <c r="D26" i="21" a="1"/>
  <c r="D26" i="21" s="1"/>
  <c r="H27" i="21" a="1"/>
  <c r="H27" i="21" s="1"/>
  <c r="G27" i="21" a="1"/>
  <c r="G27" i="21" s="1"/>
  <c r="F27" i="21" a="1"/>
  <c r="F27" i="21" s="1"/>
  <c r="E27" i="21" a="1"/>
  <c r="E27" i="21" s="1"/>
  <c r="D27" i="21" a="1"/>
  <c r="D27" i="21" s="1"/>
  <c r="H28" i="21" a="1"/>
  <c r="H28" i="21" s="1"/>
  <c r="G28" i="21" a="1"/>
  <c r="G28" i="21" s="1"/>
  <c r="F28" i="21" a="1"/>
  <c r="F28" i="21" s="1"/>
  <c r="E28" i="21" a="1"/>
  <c r="E28" i="21" s="1"/>
  <c r="D28" i="21" a="1"/>
  <c r="D28" i="21" s="1"/>
  <c r="H29" i="21" a="1"/>
  <c r="H29" i="21" s="1"/>
  <c r="G29" i="21" a="1"/>
  <c r="G29" i="21" s="1"/>
  <c r="F29" i="21" a="1"/>
  <c r="F29" i="21" s="1"/>
  <c r="E29" i="21" a="1"/>
  <c r="E29" i="21" s="1"/>
  <c r="D29" i="21" a="1"/>
  <c r="D29" i="21" s="1"/>
  <c r="H30" i="21" a="1"/>
  <c r="H30" i="21" s="1"/>
  <c r="G30" i="21" a="1"/>
  <c r="G30" i="21" s="1"/>
  <c r="F30" i="21" a="1"/>
  <c r="F30" i="21" s="1"/>
  <c r="E30" i="21" a="1"/>
  <c r="E30" i="21" s="1"/>
  <c r="D30" i="21" a="1"/>
  <c r="D30" i="21" s="1"/>
  <c r="H31" i="21" a="1"/>
  <c r="H31" i="21" s="1"/>
  <c r="G31" i="21" a="1"/>
  <c r="G31" i="21" s="1"/>
  <c r="F31" i="21" a="1"/>
  <c r="F31" i="21" s="1"/>
  <c r="E31" i="21" a="1"/>
  <c r="E31" i="21" s="1"/>
  <c r="D31" i="21" a="1"/>
  <c r="D31" i="21" s="1"/>
  <c r="H32" i="21" a="1"/>
  <c r="H32" i="21" s="1"/>
  <c r="G32" i="21" a="1"/>
  <c r="G32" i="21" s="1"/>
  <c r="F32" i="21" a="1"/>
  <c r="F32" i="21" s="1"/>
  <c r="E32" i="21" a="1"/>
  <c r="E32" i="21" s="1"/>
  <c r="D32" i="21" a="1"/>
  <c r="D32" i="21" s="1"/>
  <c r="H33" i="21" a="1"/>
  <c r="H33" i="21" s="1"/>
  <c r="G33" i="21" a="1"/>
  <c r="G33" i="21" s="1"/>
  <c r="F33" i="21" a="1"/>
  <c r="F33" i="21" s="1"/>
  <c r="E33" i="21" a="1"/>
  <c r="E33" i="21" s="1"/>
  <c r="D33" i="21" a="1"/>
  <c r="D33" i="21" s="1"/>
  <c r="H34" i="21" a="1"/>
  <c r="H34" i="21" s="1"/>
  <c r="G34" i="21" a="1"/>
  <c r="G34" i="21" s="1"/>
  <c r="F34" i="21" a="1"/>
  <c r="F34" i="21" s="1"/>
  <c r="E34" i="21" a="1"/>
  <c r="E34" i="21" s="1"/>
  <c r="D34" i="21" a="1"/>
  <c r="D34" i="21" s="1"/>
  <c r="H35" i="21" a="1"/>
  <c r="H35" i="21" s="1"/>
  <c r="G35" i="21" a="1"/>
  <c r="G35" i="21" s="1"/>
  <c r="F35" i="21" a="1"/>
  <c r="F35" i="21" s="1"/>
  <c r="E35" i="21" a="1"/>
  <c r="E35" i="21" s="1"/>
  <c r="D35" i="21" a="1"/>
  <c r="D35" i="21" s="1"/>
  <c r="H36" i="21" a="1"/>
  <c r="H36" i="21" s="1"/>
  <c r="G36" i="21" a="1"/>
  <c r="G36" i="21" s="1"/>
  <c r="F36" i="21" a="1"/>
  <c r="F36" i="21" s="1"/>
  <c r="E36" i="21" a="1"/>
  <c r="E36" i="21" s="1"/>
  <c r="D36" i="21" a="1"/>
  <c r="D36" i="21" s="1"/>
  <c r="H37" i="21" a="1"/>
  <c r="H37" i="21" s="1"/>
  <c r="G37" i="21" a="1"/>
  <c r="G37" i="21" s="1"/>
  <c r="F37" i="21" a="1"/>
  <c r="F37" i="21" s="1"/>
  <c r="E37" i="21" a="1"/>
  <c r="E37" i="21" s="1"/>
  <c r="D37" i="21" a="1"/>
  <c r="D37" i="21" s="1"/>
  <c r="H38" i="21" a="1"/>
  <c r="H38" i="21" s="1"/>
  <c r="G38" i="21" a="1"/>
  <c r="G38" i="21" s="1"/>
  <c r="F38" i="21" a="1"/>
  <c r="F38" i="21" s="1"/>
  <c r="E38" i="21" a="1"/>
  <c r="E38" i="21" s="1"/>
  <c r="D38" i="21" a="1"/>
  <c r="D38" i="21" s="1"/>
  <c r="H39" i="21" a="1"/>
  <c r="H39" i="21" s="1"/>
  <c r="G39" i="21" a="1"/>
  <c r="G39" i="21" s="1"/>
  <c r="F39" i="21" a="1"/>
  <c r="F39" i="21" s="1"/>
  <c r="E39" i="21" a="1"/>
  <c r="E39" i="21" s="1"/>
  <c r="D39" i="21" a="1"/>
  <c r="D39" i="21" s="1"/>
  <c r="H40" i="21" a="1"/>
  <c r="H40" i="21" s="1"/>
  <c r="G40" i="21" a="1"/>
  <c r="G40" i="21" s="1"/>
  <c r="F40" i="21" a="1"/>
  <c r="F40" i="21" s="1"/>
  <c r="E40" i="21" a="1"/>
  <c r="E40" i="21" s="1"/>
  <c r="D40" i="21" a="1"/>
  <c r="D40" i="21" s="1"/>
  <c r="H41" i="21" a="1"/>
  <c r="H41" i="21" s="1"/>
  <c r="G41" i="21" a="1"/>
  <c r="G41" i="21" s="1"/>
  <c r="F41" i="21" a="1"/>
  <c r="F41" i="21" s="1"/>
  <c r="E41" i="21" a="1"/>
  <c r="E41" i="21" s="1"/>
  <c r="D41" i="21" a="1"/>
  <c r="D41" i="21" s="1"/>
  <c r="H42" i="21" a="1"/>
  <c r="H42" i="21" s="1"/>
  <c r="G42" i="21" a="1"/>
  <c r="G42" i="21" s="1"/>
  <c r="F42" i="21" a="1"/>
  <c r="F42" i="21" s="1"/>
  <c r="E42" i="21" a="1"/>
  <c r="E42" i="21" s="1"/>
  <c r="D42" i="21" a="1"/>
  <c r="D42" i="21" s="1"/>
  <c r="H43" i="21" a="1"/>
  <c r="H43" i="21" s="1"/>
  <c r="G43" i="21" a="1"/>
  <c r="G43" i="21" s="1"/>
  <c r="F43" i="21" a="1"/>
  <c r="F43" i="21" s="1"/>
  <c r="E43" i="21" a="1"/>
  <c r="E43" i="21" s="1"/>
  <c r="D43" i="21" a="1"/>
  <c r="D43" i="21" s="1"/>
  <c r="H44" i="21" a="1"/>
  <c r="H44" i="21" s="1"/>
  <c r="G44" i="21" a="1"/>
  <c r="G44" i="21" s="1"/>
  <c r="F44" i="21" a="1"/>
  <c r="F44" i="21" s="1"/>
  <c r="E44" i="21" a="1"/>
  <c r="E44" i="21" s="1"/>
  <c r="D44" i="21" a="1"/>
  <c r="D44" i="21" s="1"/>
  <c r="H45" i="21" a="1"/>
  <c r="H45" i="21" s="1"/>
  <c r="G45" i="21" a="1"/>
  <c r="G45" i="21" s="1"/>
  <c r="F45" i="21" a="1"/>
  <c r="F45" i="21" s="1"/>
  <c r="E45" i="21" a="1"/>
  <c r="E45" i="21" s="1"/>
  <c r="D45" i="21" a="1"/>
  <c r="D45" i="21" s="1"/>
  <c r="H46" i="21" a="1"/>
  <c r="H46" i="21" s="1"/>
  <c r="G46" i="21" a="1"/>
  <c r="G46" i="21" s="1"/>
  <c r="F46" i="21" a="1"/>
  <c r="F46" i="21" s="1"/>
  <c r="E46" i="21" a="1"/>
  <c r="E46" i="21" s="1"/>
  <c r="D46" i="21" a="1"/>
  <c r="D46" i="21" s="1"/>
  <c r="A107" i="1"/>
  <c r="E49" i="21" l="1" a="1"/>
  <c r="E49" i="21" s="1"/>
  <c r="D49" i="21" a="1"/>
  <c r="D49" i="21" s="1"/>
  <c r="H50" i="21" a="1"/>
  <c r="H50" i="21" s="1"/>
  <c r="G50" i="21" a="1"/>
  <c r="G50" i="21" s="1"/>
  <c r="F50" i="21" a="1"/>
  <c r="F50" i="21" s="1"/>
  <c r="E50" i="21" a="1"/>
  <c r="E50" i="21" s="1"/>
  <c r="D50" i="21" a="1"/>
  <c r="D50" i="21" s="1"/>
  <c r="H51" i="21" a="1"/>
  <c r="H51" i="21" s="1"/>
  <c r="G51" i="21" a="1"/>
  <c r="G51" i="21" s="1"/>
  <c r="F51" i="21" a="1"/>
  <c r="F51" i="21" s="1"/>
  <c r="E51" i="21" a="1"/>
  <c r="E51" i="21" s="1"/>
  <c r="D51" i="21" a="1"/>
  <c r="D51" i="21" s="1"/>
  <c r="H52" i="21" a="1"/>
  <c r="H52" i="21" s="1"/>
  <c r="G52" i="21" a="1"/>
  <c r="G52" i="21" s="1"/>
  <c r="F52" i="21" a="1"/>
  <c r="F52" i="21" s="1"/>
  <c r="E52" i="21" a="1"/>
  <c r="E52" i="21" s="1"/>
  <c r="D52" i="21" a="1"/>
  <c r="D52" i="21" s="1"/>
  <c r="H53" i="21" a="1"/>
  <c r="H53" i="21" s="1"/>
  <c r="G53" i="21" a="1"/>
  <c r="G53" i="21" s="1"/>
  <c r="F53" i="21" a="1"/>
  <c r="F53" i="21" s="1"/>
  <c r="A108" i="1"/>
  <c r="A109" i="1" l="1"/>
  <c r="A110" i="1" l="1"/>
  <c r="A111" i="1" l="1"/>
  <c r="A112" i="1" l="1"/>
  <c r="A113" i="1" l="1"/>
  <c r="A114" i="1" l="1"/>
  <c r="A115" i="1" l="1"/>
  <c r="A116" i="1" l="1"/>
  <c r="A117" i="1" l="1"/>
  <c r="A118" i="1" l="1"/>
  <c r="A119" i="1" l="1"/>
  <c r="A120" i="1" l="1"/>
  <c r="A121" i="1" l="1"/>
  <c r="A122" i="1" l="1"/>
  <c r="A123" i="1" l="1"/>
  <c r="A124" i="1" l="1"/>
  <c r="A125" i="1" l="1"/>
  <c r="A126" i="1" l="1"/>
  <c r="C16" i="16" a="1"/>
  <c r="C16" i="16" s="1"/>
  <c r="C18" i="16" a="1"/>
  <c r="C18" i="16" s="1"/>
  <c r="C19" i="16" a="1"/>
  <c r="C19" i="16" s="1"/>
  <c r="C20" i="16" a="1"/>
  <c r="C20" i="16" s="1"/>
  <c r="C21" i="16" a="1"/>
  <c r="C21" i="16" s="1"/>
  <c r="C22" i="16" a="1"/>
  <c r="C22" i="16" s="1"/>
  <c r="C23" i="16" a="1"/>
  <c r="C23" i="16" s="1"/>
  <c r="C24" i="16" a="1"/>
  <c r="C24" i="16" s="1"/>
  <c r="C25" i="16" a="1"/>
  <c r="C25" i="16" s="1"/>
  <c r="C26" i="16" a="1"/>
  <c r="C26" i="16" s="1"/>
  <c r="C27" i="16" a="1"/>
  <c r="C27" i="16" s="1"/>
  <c r="C28" i="16" a="1"/>
  <c r="C28" i="16" s="1"/>
  <c r="C29" i="16" a="1"/>
  <c r="C29" i="16" s="1"/>
  <c r="C30" i="16" a="1"/>
  <c r="C30" i="16" s="1"/>
  <c r="C31" i="16" a="1"/>
  <c r="C31" i="16" s="1"/>
  <c r="C32" i="16" a="1"/>
  <c r="C32" i="16" s="1"/>
  <c r="C33" i="16" a="1"/>
  <c r="C33" i="16" s="1"/>
  <c r="C34" i="16" a="1"/>
  <c r="C34" i="16" s="1"/>
  <c r="C35" i="16" a="1"/>
  <c r="C35" i="16" s="1"/>
  <c r="C36" i="16" a="1"/>
  <c r="C36" i="16" s="1"/>
  <c r="C37" i="16" a="1"/>
  <c r="C37" i="16" s="1"/>
  <c r="C38" i="16" a="1"/>
  <c r="C38" i="16" s="1"/>
  <c r="C39" i="16" a="1"/>
  <c r="C39" i="16" s="1"/>
  <c r="C40" i="16" a="1"/>
  <c r="C40" i="16" s="1"/>
  <c r="C41" i="16" a="1"/>
  <c r="C41" i="16" s="1"/>
  <c r="C42" i="16" a="1"/>
  <c r="C42" i="16" s="1"/>
  <c r="C43" i="16" a="1"/>
  <c r="C43" i="16" s="1"/>
  <c r="C44" i="16" a="1"/>
  <c r="C44" i="16" s="1"/>
  <c r="C45" i="16" a="1"/>
  <c r="C45" i="16" s="1"/>
  <c r="C46" i="16" a="1"/>
  <c r="C46" i="16" s="1"/>
  <c r="C47" i="16" a="1"/>
  <c r="C47" i="16" s="1"/>
  <c r="C48" i="16" a="1"/>
  <c r="C48" i="16" s="1"/>
  <c r="C49" i="16" a="1"/>
  <c r="C49" i="16" s="1"/>
  <c r="C50" i="16" a="1"/>
  <c r="C50" i="16" s="1"/>
  <c r="C51" i="16" a="1"/>
  <c r="C51" i="16" s="1"/>
  <c r="C17" i="16" a="1"/>
  <c r="C17" i="16" s="1"/>
  <c r="C16" i="21" l="1" a="1"/>
  <c r="C16" i="21" s="1"/>
  <c r="B16" i="21" a="1"/>
  <c r="B16" i="21" s="1"/>
  <c r="B58" i="21" a="1"/>
  <c r="B58" i="21" s="1"/>
  <c r="B59" i="21" a="1"/>
  <c r="B59" i="21" s="1"/>
  <c r="C58" i="21" a="1"/>
  <c r="C58" i="21" s="1"/>
  <c r="C59" i="21" a="1"/>
  <c r="C59" i="21" s="1"/>
  <c r="A7" i="26" a="1"/>
  <c r="A56" i="26" a="1"/>
  <c r="A23" i="26" a="1"/>
  <c r="A66" i="26" a="1"/>
  <c r="A39" i="26" a="1"/>
  <c r="A83" i="26" a="1"/>
  <c r="A82" i="26" a="1"/>
  <c r="A82" i="26" s="1"/>
  <c r="B51" i="16" a="1"/>
  <c r="B51" i="16" s="1"/>
  <c r="B17" i="19" a="1"/>
  <c r="B17" i="19" s="1"/>
  <c r="B16" i="19" a="1"/>
  <c r="B16" i="19" s="1"/>
  <c r="B18" i="19" a="1"/>
  <c r="B18" i="19" s="1"/>
  <c r="B19" i="19" a="1"/>
  <c r="B19" i="19" s="1"/>
  <c r="B20" i="19" a="1"/>
  <c r="B20" i="19" s="1"/>
  <c r="B21" i="19" a="1"/>
  <c r="B21" i="19" s="1"/>
  <c r="B22" i="19" a="1"/>
  <c r="B22" i="19" s="1"/>
  <c r="B23" i="19" a="1"/>
  <c r="B23" i="19" s="1"/>
  <c r="B24" i="19" a="1"/>
  <c r="B24" i="19" s="1"/>
  <c r="B25" i="19" a="1"/>
  <c r="B25" i="19" s="1"/>
  <c r="B26" i="19" a="1"/>
  <c r="B26" i="19" s="1"/>
  <c r="B27" i="19" a="1"/>
  <c r="B27" i="19" s="1"/>
  <c r="B29" i="21" a="1"/>
  <c r="B29" i="21" s="1"/>
  <c r="B30" i="21" a="1"/>
  <c r="B30" i="21" s="1"/>
  <c r="B31" i="21" a="1"/>
  <c r="B31" i="21" s="1"/>
  <c r="B32" i="21" a="1"/>
  <c r="B32" i="21" s="1"/>
  <c r="B33" i="21" a="1"/>
  <c r="B33" i="21" s="1"/>
  <c r="B34" i="21" a="1"/>
  <c r="B34" i="21" s="1"/>
  <c r="B35" i="21" a="1"/>
  <c r="B35" i="21" s="1"/>
  <c r="B36" i="21" a="1"/>
  <c r="B36" i="21" s="1"/>
  <c r="B37" i="21" a="1"/>
  <c r="B37" i="21" s="1"/>
  <c r="B38" i="21" a="1"/>
  <c r="B38" i="21" s="1"/>
  <c r="B39" i="21" a="1"/>
  <c r="B39" i="21" s="1"/>
  <c r="B40" i="21" a="1"/>
  <c r="B40" i="21" s="1"/>
  <c r="B41" i="21" a="1"/>
  <c r="B41" i="21" s="1"/>
  <c r="B42" i="21" a="1"/>
  <c r="B42" i="21" s="1"/>
  <c r="B43" i="21" a="1"/>
  <c r="B43" i="21" s="1"/>
  <c r="B44" i="21" a="1"/>
  <c r="B44" i="21" s="1"/>
  <c r="B45" i="21" a="1"/>
  <c r="B45" i="21" s="1"/>
  <c r="B46" i="21" a="1"/>
  <c r="B46" i="21" s="1"/>
  <c r="B47" i="21" a="1"/>
  <c r="B47" i="21" s="1"/>
  <c r="B48" i="21" a="1"/>
  <c r="B48" i="21" s="1"/>
  <c r="B49" i="21" a="1"/>
  <c r="B49" i="21" s="1"/>
  <c r="B50" i="21" a="1"/>
  <c r="B50" i="21" s="1"/>
  <c r="B51" i="21" a="1"/>
  <c r="B51" i="21" s="1"/>
  <c r="B52" i="21" a="1"/>
  <c r="B52" i="21" s="1"/>
  <c r="B53" i="21" a="1"/>
  <c r="B53" i="21" s="1"/>
  <c r="B54" i="21" a="1"/>
  <c r="B54" i="21" s="1"/>
  <c r="B55" i="21" a="1"/>
  <c r="B55" i="21" s="1"/>
  <c r="B56" i="21" a="1"/>
  <c r="B56" i="21" s="1"/>
  <c r="B57" i="21" a="1"/>
  <c r="B57" i="21" s="1"/>
  <c r="C27" i="19" a="1"/>
  <c r="C27" i="19" s="1"/>
  <c r="C26" i="19" a="1"/>
  <c r="C26" i="19" s="1"/>
  <c r="C25" i="19" a="1"/>
  <c r="C25" i="19" s="1"/>
  <c r="C24" i="19" a="1"/>
  <c r="C24" i="19" s="1"/>
  <c r="C23" i="19" a="1"/>
  <c r="C23" i="19" s="1"/>
  <c r="C22" i="19" a="1"/>
  <c r="C22" i="19" s="1"/>
  <c r="C21" i="19" a="1"/>
  <c r="C21" i="19" s="1"/>
  <c r="C20" i="19" a="1"/>
  <c r="C20" i="19" s="1"/>
  <c r="C19" i="19" a="1"/>
  <c r="C19" i="19" s="1"/>
  <c r="C18" i="19" a="1"/>
  <c r="C18" i="19" s="1"/>
  <c r="C17" i="19" a="1"/>
  <c r="C17" i="19" s="1"/>
  <c r="C16" i="19" a="1"/>
  <c r="C16" i="19" s="1"/>
  <c r="C56" i="21" a="1"/>
  <c r="C56" i="21" s="1"/>
  <c r="C57" i="21" a="1"/>
  <c r="C57" i="21" s="1"/>
  <c r="C55" i="21" a="1"/>
  <c r="C55" i="21" s="1"/>
  <c r="C29" i="21" a="1"/>
  <c r="C29" i="21" s="1"/>
  <c r="C30" i="21" a="1"/>
  <c r="C30" i="21" s="1"/>
  <c r="C31" i="21" a="1"/>
  <c r="C31" i="21" s="1"/>
  <c r="C32" i="21" a="1"/>
  <c r="C32" i="21" s="1"/>
  <c r="C33" i="21" a="1"/>
  <c r="C33" i="21" s="1"/>
  <c r="C34" i="21" a="1"/>
  <c r="C34" i="21" s="1"/>
  <c r="C35" i="21" a="1"/>
  <c r="C35" i="21" s="1"/>
  <c r="C36" i="21" a="1"/>
  <c r="C36" i="21" s="1"/>
  <c r="C37" i="21" a="1"/>
  <c r="C37" i="21" s="1"/>
  <c r="C38" i="21" a="1"/>
  <c r="C38" i="21" s="1"/>
  <c r="C39" i="21" a="1"/>
  <c r="C39" i="21" s="1"/>
  <c r="C40" i="21" a="1"/>
  <c r="C40" i="21" s="1"/>
  <c r="C41" i="21" a="1"/>
  <c r="C41" i="21" s="1"/>
  <c r="C42" i="21" a="1"/>
  <c r="C42" i="21" s="1"/>
  <c r="C43" i="21" a="1"/>
  <c r="C43" i="21" s="1"/>
  <c r="C44" i="21" a="1"/>
  <c r="C44" i="21" s="1"/>
  <c r="C45" i="21" a="1"/>
  <c r="C45" i="21" s="1"/>
  <c r="C46" i="21" a="1"/>
  <c r="C46" i="21" s="1"/>
  <c r="C47" i="21" a="1"/>
  <c r="C47" i="21" s="1"/>
  <c r="C48" i="21" a="1"/>
  <c r="C48" i="21" s="1"/>
  <c r="C49" i="21" a="1"/>
  <c r="C49" i="21" s="1"/>
  <c r="C50" i="21" a="1"/>
  <c r="C50" i="21" s="1"/>
  <c r="C51" i="21" a="1"/>
  <c r="C51" i="21" s="1"/>
  <c r="C52" i="21" a="1"/>
  <c r="C52" i="21" s="1"/>
  <c r="C53" i="21" a="1"/>
  <c r="C53" i="21" s="1"/>
  <c r="C54" i="21" a="1"/>
  <c r="C54" i="21" s="1"/>
  <c r="B20" i="16" a="1"/>
  <c r="B20" i="16" s="1"/>
  <c r="B18" i="16" a="1"/>
  <c r="B18" i="16" s="1"/>
  <c r="B16" i="16" a="1"/>
  <c r="B16" i="16" s="1"/>
  <c r="B17" i="16" a="1"/>
  <c r="B17" i="16" s="1"/>
  <c r="B19" i="16" a="1"/>
  <c r="B19" i="16" s="1"/>
  <c r="B21" i="16" a="1"/>
  <c r="B21" i="16" s="1"/>
  <c r="B22" i="16" a="1"/>
  <c r="B22" i="16" s="1"/>
  <c r="B23" i="16" a="1"/>
  <c r="B23" i="16" s="1"/>
  <c r="B24" i="16" a="1"/>
  <c r="B24" i="16" s="1"/>
  <c r="B25" i="16" a="1"/>
  <c r="B25" i="16" s="1"/>
  <c r="B26" i="16" a="1"/>
  <c r="B26" i="16" s="1"/>
  <c r="B27" i="16" a="1"/>
  <c r="B27" i="16" s="1"/>
  <c r="B28" i="16" a="1"/>
  <c r="B28" i="16" s="1"/>
  <c r="B29" i="16" a="1"/>
  <c r="B29" i="16" s="1"/>
  <c r="B30" i="16" a="1"/>
  <c r="B30" i="16" s="1"/>
  <c r="B31" i="16" a="1"/>
  <c r="B31" i="16" s="1"/>
  <c r="B32" i="16" a="1"/>
  <c r="B32" i="16" s="1"/>
  <c r="B33" i="16" a="1"/>
  <c r="B33" i="16" s="1"/>
  <c r="B34" i="16" a="1"/>
  <c r="B34" i="16" s="1"/>
  <c r="B35" i="16" a="1"/>
  <c r="B35" i="16" s="1"/>
  <c r="B36" i="16" a="1"/>
  <c r="B36" i="16" s="1"/>
  <c r="B37" i="16" a="1"/>
  <c r="B37" i="16" s="1"/>
  <c r="B38" i="16" a="1"/>
  <c r="B38" i="16" s="1"/>
  <c r="B39" i="16" a="1"/>
  <c r="B39" i="16" s="1"/>
  <c r="B40" i="16" a="1"/>
  <c r="B40" i="16" s="1"/>
  <c r="B41" i="16" a="1"/>
  <c r="B41" i="16" s="1"/>
  <c r="B42" i="16" a="1"/>
  <c r="B42" i="16" s="1"/>
  <c r="B43" i="16" a="1"/>
  <c r="B43" i="16" s="1"/>
  <c r="B44" i="16" a="1"/>
  <c r="B44" i="16" s="1"/>
  <c r="B45" i="16" a="1"/>
  <c r="B45" i="16" s="1"/>
  <c r="B46" i="16" a="1"/>
  <c r="B46" i="16" s="1"/>
  <c r="B47" i="16" a="1"/>
  <c r="B47" i="16" s="1"/>
  <c r="B48" i="16" a="1"/>
  <c r="B48" i="16" s="1"/>
  <c r="B49" i="16" a="1"/>
  <c r="B49" i="16" s="1"/>
  <c r="B50" i="16" a="1"/>
  <c r="B50" i="16" s="1"/>
  <c r="B17" i="21" a="1"/>
  <c r="B17" i="21" s="1"/>
  <c r="B18" i="21" a="1"/>
  <c r="B18" i="21" s="1"/>
  <c r="B19" i="21" a="1"/>
  <c r="B19" i="21" s="1"/>
  <c r="B20" i="21" a="1"/>
  <c r="B20" i="21" s="1"/>
  <c r="B21" i="21" a="1"/>
  <c r="B21" i="21" s="1"/>
  <c r="B22" i="21" a="1"/>
  <c r="B22" i="21" s="1"/>
  <c r="B23" i="21" a="1"/>
  <c r="B23" i="21" s="1"/>
  <c r="B24" i="21" a="1"/>
  <c r="B24" i="21" s="1"/>
  <c r="B25" i="21" a="1"/>
  <c r="B25" i="21" s="1"/>
  <c r="B26" i="21" a="1"/>
  <c r="B26" i="21" s="1"/>
  <c r="B27" i="21" a="1"/>
  <c r="B27" i="21" s="1"/>
  <c r="B28" i="21" a="1"/>
  <c r="B28" i="21" s="1"/>
  <c r="C26" i="21" a="1"/>
  <c r="C26" i="21" s="1"/>
  <c r="C27" i="21" a="1"/>
  <c r="C27" i="21" s="1"/>
  <c r="C28" i="21" a="1"/>
  <c r="C28" i="21" s="1"/>
  <c r="C17" i="21" a="1"/>
  <c r="C17" i="21" s="1"/>
  <c r="C18" i="21" a="1"/>
  <c r="C18" i="21" s="1"/>
  <c r="C19" i="21" a="1"/>
  <c r="C19" i="21" s="1"/>
  <c r="C20" i="21" a="1"/>
  <c r="C20" i="21" s="1"/>
  <c r="C21" i="21" a="1"/>
  <c r="C21" i="21" s="1"/>
  <c r="C22" i="21" a="1"/>
  <c r="C22" i="21" s="1"/>
  <c r="C23" i="21" a="1"/>
  <c r="C23" i="21" s="1"/>
  <c r="C24" i="21" a="1"/>
  <c r="C24" i="21" s="1"/>
  <c r="C25" i="21" a="1"/>
  <c r="C25" i="21" s="1"/>
  <c r="A83" i="26" l="1"/>
  <c r="D31" i="23"/>
  <c r="E31" i="23"/>
  <c r="F31" i="23"/>
  <c r="G31" i="23"/>
  <c r="H31" i="23"/>
  <c r="I31" i="23"/>
  <c r="J31" i="23"/>
  <c r="K31" i="23"/>
  <c r="L31" i="23"/>
  <c r="M31" i="23"/>
  <c r="N31" i="23"/>
  <c r="O31" i="23"/>
  <c r="P31" i="23"/>
  <c r="Q31" i="23"/>
  <c r="R31" i="23"/>
  <c r="S31" i="23"/>
  <c r="T31" i="23"/>
  <c r="U31" i="23"/>
  <c r="V31" i="23"/>
  <c r="W31" i="23"/>
  <c r="X31" i="23"/>
  <c r="Y31" i="23"/>
  <c r="C31" i="23"/>
  <c r="C7" i="23" s="1" a="1"/>
  <c r="C7" i="23" s="1"/>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48" i="26" s="1"/>
  <c r="A49" i="26" s="1" a="1"/>
  <c r="A49" i="26" s="1"/>
  <c r="A50" i="26" s="1" a="1"/>
  <c r="A50" i="26" s="1"/>
  <c r="A51" i="26" s="1" a="1"/>
  <c r="A51" i="26" s="1"/>
  <c r="C52" i="26"/>
  <c r="D52" i="26"/>
  <c r="E52" i="26"/>
  <c r="F52" i="26"/>
  <c r="G52" i="26"/>
  <c r="H52" i="26"/>
  <c r="I52" i="26"/>
  <c r="J52" i="26"/>
  <c r="K52" i="26"/>
  <c r="L52" i="26"/>
  <c r="M52" i="26"/>
  <c r="N52" i="26"/>
  <c r="O52" i="26"/>
  <c r="P52" i="26"/>
  <c r="Q52" i="26"/>
  <c r="R52" i="26"/>
  <c r="S52" i="26"/>
  <c r="T52" i="26"/>
  <c r="U52" i="26"/>
  <c r="V52" i="26"/>
  <c r="W52" i="26"/>
  <c r="X52" i="26"/>
  <c r="B52" i="26"/>
  <c r="A66" i="26"/>
  <c r="A67" i="26" s="1" a="1"/>
  <c r="A67" i="26" s="1"/>
  <c r="A68" i="26" s="1" a="1"/>
  <c r="A68" i="26" s="1"/>
  <c r="A69" i="26" s="1" a="1"/>
  <c r="A69" i="26" s="1"/>
  <c r="A70" i="26" s="1" a="1"/>
  <c r="A70" i="26" s="1"/>
  <c r="A71" i="26" s="1" a="1"/>
  <c r="A71" i="26" s="1"/>
  <c r="A72" i="26" s="1" a="1"/>
  <c r="C79" i="26"/>
  <c r="D79" i="26"/>
  <c r="E79" i="26"/>
  <c r="F79" i="26"/>
  <c r="G79" i="26"/>
  <c r="H79" i="26"/>
  <c r="I79" i="26"/>
  <c r="J79" i="26"/>
  <c r="K79" i="26"/>
  <c r="L79" i="26"/>
  <c r="M79" i="26"/>
  <c r="N79" i="26"/>
  <c r="O79" i="26"/>
  <c r="P79" i="26"/>
  <c r="Q79" i="26"/>
  <c r="R79" i="26"/>
  <c r="S79" i="26"/>
  <c r="T79" i="26"/>
  <c r="U79" i="26"/>
  <c r="V79" i="26"/>
  <c r="W79" i="26"/>
  <c r="X79" i="26"/>
  <c r="B79" i="26"/>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C36" i="26"/>
  <c r="D36" i="26"/>
  <c r="E36" i="26"/>
  <c r="F36" i="26"/>
  <c r="G36" i="26"/>
  <c r="H36" i="26"/>
  <c r="I36" i="26"/>
  <c r="J36" i="26"/>
  <c r="K36" i="26"/>
  <c r="L36" i="26"/>
  <c r="M36" i="26"/>
  <c r="N36" i="26"/>
  <c r="O36" i="26"/>
  <c r="P36" i="26"/>
  <c r="Q36" i="26"/>
  <c r="R36" i="26"/>
  <c r="S36" i="26"/>
  <c r="T36" i="26"/>
  <c r="U36" i="26"/>
  <c r="V36" i="26"/>
  <c r="W36" i="26"/>
  <c r="X36" i="26"/>
  <c r="B36" i="26"/>
  <c r="A56" i="26"/>
  <c r="A57" i="26" s="1" a="1"/>
  <c r="A57" i="26" s="1"/>
  <c r="A58" i="26" s="1" a="1"/>
  <c r="A58" i="26" s="1"/>
  <c r="A59" i="26" s="1" a="1"/>
  <c r="D63" i="26"/>
  <c r="E63" i="26"/>
  <c r="F63" i="26"/>
  <c r="G63" i="26"/>
  <c r="H63" i="26"/>
  <c r="I63" i="26"/>
  <c r="J63" i="26"/>
  <c r="K63" i="26"/>
  <c r="L63" i="26"/>
  <c r="M63" i="26"/>
  <c r="N63" i="26"/>
  <c r="O63" i="26"/>
  <c r="P63" i="26"/>
  <c r="Q63" i="26"/>
  <c r="R63" i="26"/>
  <c r="S63" i="26"/>
  <c r="T63" i="26"/>
  <c r="U63" i="26"/>
  <c r="V63" i="26"/>
  <c r="W63" i="26"/>
  <c r="X63" i="26"/>
  <c r="C63" i="26"/>
  <c r="B63" i="26"/>
  <c r="A7" i="26"/>
  <c r="A8" i="26" s="1" a="1"/>
  <c r="A8" i="26" s="1"/>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X20" i="26"/>
  <c r="C20" i="26"/>
  <c r="D20" i="26"/>
  <c r="E20" i="26"/>
  <c r="F20" i="26"/>
  <c r="G20" i="26"/>
  <c r="H20" i="26"/>
  <c r="I20" i="26"/>
  <c r="J20" i="26"/>
  <c r="K20" i="26"/>
  <c r="L20" i="26"/>
  <c r="M20" i="26"/>
  <c r="N20" i="26"/>
  <c r="O20" i="26"/>
  <c r="P20" i="26"/>
  <c r="Q20" i="26"/>
  <c r="R20" i="26"/>
  <c r="S20" i="26"/>
  <c r="T20" i="26"/>
  <c r="U20" i="26"/>
  <c r="V20" i="26"/>
  <c r="W20" i="26"/>
  <c r="B20" i="26"/>
  <c r="D31" i="3" l="1"/>
  <c r="D32" i="3"/>
  <c r="Y32" i="3"/>
  <c r="Y31" i="3"/>
  <c r="X32" i="3"/>
  <c r="X31" i="3"/>
  <c r="W32" i="3"/>
  <c r="W31" i="3"/>
  <c r="V32" i="3"/>
  <c r="V31" i="3"/>
  <c r="U32" i="3"/>
  <c r="U31" i="3"/>
  <c r="T32" i="3"/>
  <c r="T31" i="3"/>
  <c r="S32" i="3"/>
  <c r="S31" i="3"/>
  <c r="R32" i="3"/>
  <c r="R31" i="3"/>
  <c r="Q32" i="3"/>
  <c r="Q31" i="3"/>
  <c r="P32" i="3"/>
  <c r="P31" i="3"/>
  <c r="O32" i="3"/>
  <c r="O31" i="3"/>
  <c r="N32" i="3"/>
  <c r="N31" i="3"/>
  <c r="M32" i="3"/>
  <c r="M31" i="3"/>
  <c r="L32" i="3"/>
  <c r="L31" i="3"/>
  <c r="K32" i="3"/>
  <c r="K31" i="3"/>
  <c r="J32" i="3"/>
  <c r="J31" i="3"/>
  <c r="I32" i="3"/>
  <c r="I31" i="3"/>
  <c r="H32" i="3"/>
  <c r="H31" i="3"/>
  <c r="G32" i="3"/>
  <c r="G31" i="3"/>
  <c r="F32" i="3"/>
  <c r="F31" i="3"/>
  <c r="E32" i="3"/>
  <c r="E31" i="3"/>
  <c r="Z32" i="3"/>
  <c r="Z31" i="3"/>
  <c r="A59" i="26"/>
  <c r="A60" i="26" s="1" a="1"/>
  <c r="A60" i="26" s="1"/>
  <c r="A61" i="26" s="1" a="1"/>
  <c r="A61" i="26" s="1"/>
  <c r="D62" i="26"/>
  <c r="F33" i="4" s="1"/>
  <c r="E62" i="26"/>
  <c r="G33" i="4" s="1"/>
  <c r="F62" i="26"/>
  <c r="H33" i="4" s="1"/>
  <c r="G62" i="26"/>
  <c r="I33" i="4" s="1"/>
  <c r="H62" i="26"/>
  <c r="J33" i="4" s="1"/>
  <c r="I62" i="26"/>
  <c r="K33" i="4" s="1"/>
  <c r="J62" i="26"/>
  <c r="L33" i="4" s="1"/>
  <c r="K62" i="26"/>
  <c r="M33" i="4" s="1"/>
  <c r="L62" i="26"/>
  <c r="N33" i="4" s="1"/>
  <c r="M62" i="26"/>
  <c r="O33" i="4" s="1"/>
  <c r="N62" i="26"/>
  <c r="P33" i="4" s="1"/>
  <c r="O62" i="26"/>
  <c r="Q33" i="4" s="1"/>
  <c r="P62" i="26"/>
  <c r="R33" i="4" s="1"/>
  <c r="Q62" i="26"/>
  <c r="S33" i="4" s="1"/>
  <c r="R62" i="26"/>
  <c r="T33" i="4" s="1"/>
  <c r="S62" i="26"/>
  <c r="U33" i="4" s="1"/>
  <c r="T62" i="26"/>
  <c r="V33" i="4" s="1"/>
  <c r="U62" i="26"/>
  <c r="W33" i="4" s="1"/>
  <c r="V62" i="26"/>
  <c r="X33" i="4" s="1"/>
  <c r="W62" i="26"/>
  <c r="Y33" i="4" s="1"/>
  <c r="X62" i="26"/>
  <c r="Z33" i="4" s="1"/>
  <c r="C62" i="26"/>
  <c r="E33" i="4" s="1"/>
  <c r="B62" i="26"/>
  <c r="D33" i="4" s="1"/>
  <c r="D9" i="4" s="1" a="1"/>
  <c r="D9" i="4" s="1"/>
  <c r="A72" i="26"/>
  <c r="A73" i="26" s="1" a="1"/>
  <c r="A73" i="26" s="1"/>
  <c r="A74" i="26" s="1" a="1"/>
  <c r="A74" i="26" s="1"/>
  <c r="A75" i="26" s="1" a="1"/>
  <c r="A75" i="26" s="1"/>
  <c r="A76" i="26" s="1" a="1"/>
  <c r="A76" i="26" s="1"/>
  <c r="A77" i="26" s="1" a="1"/>
  <c r="A77" i="26" s="1"/>
  <c r="C78" i="26"/>
  <c r="E34" i="4" s="1"/>
  <c r="D78" i="26"/>
  <c r="F34" i="4" s="1"/>
  <c r="E78" i="26"/>
  <c r="G34" i="4" s="1"/>
  <c r="F78" i="26"/>
  <c r="H34" i="4" s="1"/>
  <c r="G78" i="26"/>
  <c r="I34" i="4" s="1"/>
  <c r="H78" i="26"/>
  <c r="J34" i="4" s="1"/>
  <c r="I78" i="26"/>
  <c r="K34" i="4" s="1"/>
  <c r="J78" i="26"/>
  <c r="L34" i="4" s="1"/>
  <c r="K78" i="26"/>
  <c r="M34" i="4" s="1"/>
  <c r="L78" i="26"/>
  <c r="N34" i="4" s="1"/>
  <c r="M78" i="26"/>
  <c r="O34" i="4" s="1"/>
  <c r="N78" i="26"/>
  <c r="P34" i="4" s="1"/>
  <c r="O78" i="26"/>
  <c r="Q34" i="4" s="1"/>
  <c r="P78" i="26"/>
  <c r="R34" i="4" s="1"/>
  <c r="Q78" i="26"/>
  <c r="S34" i="4" s="1"/>
  <c r="R78" i="26"/>
  <c r="T34" i="4" s="1"/>
  <c r="S78" i="26"/>
  <c r="U34" i="4" s="1"/>
  <c r="T78" i="26"/>
  <c r="V34" i="4" s="1"/>
  <c r="U78" i="26"/>
  <c r="W34" i="4" s="1"/>
  <c r="V78" i="26"/>
  <c r="X34" i="4" s="1"/>
  <c r="W78" i="26"/>
  <c r="Y34" i="4" s="1"/>
  <c r="X78" i="26"/>
  <c r="Z34" i="4" s="1"/>
  <c r="B78" i="26"/>
  <c r="D34" i="4" s="1"/>
  <c r="E9" i="4" s="1" a="1"/>
  <c r="E9" i="4" s="1"/>
  <c r="U15" i="21" a="1"/>
  <c r="U15" i="21" s="1"/>
  <c r="J7" i="23" a="1"/>
  <c r="J7" i="23" s="1"/>
  <c r="H9" i="20" l="1"/>
  <c r="H10" i="20"/>
  <c r="J9" i="4" a="1"/>
  <c r="J9" i="4" s="1"/>
  <c r="A8" i="5" s="1" a="1"/>
  <c r="A8" i="5" s="1"/>
  <c r="E7" i="3" a="1"/>
  <c r="E7" i="3" s="1"/>
  <c r="D7" i="3" a="1"/>
  <c r="D7" i="3" s="1"/>
  <c r="I7" i="3" s="1" a="1"/>
  <c r="I7" i="3" l="1"/>
  <c r="A8" i="2" a="1"/>
  <c r="A8" i="2" s="1"/>
  <c r="I9" i="18"/>
  <c r="H9" i="18"/>
  <c r="I10" i="18"/>
  <c r="H10" i="18"/>
  <c r="I10" i="13" l="1"/>
  <c r="H10" i="13"/>
  <c r="H9" i="13"/>
  <c r="I9"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<sst xmlns="http://schemas.openxmlformats.org/spreadsheetml/2006/main" count="2098" uniqueCount="303">
  <si>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</si>
  <si>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</si>
  <si>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</si>
  <si>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</si>
  <si>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</si>
  <si>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</si>
  <si>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</si>
  <si>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</si>
  <si>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</si>
  <si>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Travaux de génie civil, béton et acier pour ouvrages maritimes</t>
  </si>
  <si>
    <t>Travaux d’aménagement et entretien de voirie</t>
  </si>
  <si>
    <t>Fabrication et mise en œuvre d’enrobés </t>
  </si>
  <si>
    <t xml:space="preserve">Canalisations, assainissement et adduction d’eau avec fourniture de tuyaux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</si>
  <si>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</si>
  <si>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</si>
  <si>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</si>
  <si>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</si>
  <si>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</si>
  <si>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</si>
  <si>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</si>
  <si>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</si>
  <si>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 xml:space="preserve">Charpentes et ouvrages d’art métalliques </t>
  </si>
  <si>
    <t>Travaux immergés par scaphandriers</t>
  </si>
  <si>
    <t>Base 2010</t>
  </si>
  <si>
    <t>TP01</t>
  </si>
  <si>
    <t>TP02</t>
  </si>
  <si>
    <t>TP03a</t>
  </si>
  <si>
    <t>TP03b</t>
  </si>
  <si>
    <t>TP04</t>
  </si>
  <si>
    <t>TP05a</t>
  </si>
  <si>
    <t>TP05b</t>
  </si>
  <si>
    <t>TP06a</t>
  </si>
  <si>
    <t>TP06b</t>
  </si>
  <si>
    <t>TP07b</t>
  </si>
  <si>
    <t>TP08</t>
  </si>
  <si>
    <t>TP09</t>
  </si>
  <si>
    <t>TP10a</t>
  </si>
  <si>
    <t>TP10b</t>
  </si>
  <si>
    <t>TP10c</t>
  </si>
  <si>
    <t>TP10d</t>
  </si>
  <si>
    <t>TP11</t>
  </si>
  <si>
    <t>TP12a</t>
  </si>
  <si>
    <t>TP12b</t>
  </si>
  <si>
    <t>TP12c</t>
  </si>
  <si>
    <t>TP12d</t>
  </si>
  <si>
    <t>TP13</t>
  </si>
  <si>
    <t>TP14</t>
  </si>
  <si>
    <t>nd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</si>
  <si>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</si>
  <si>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</si>
  <si>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</si>
  <si>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</si>
  <si>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</si>
  <si>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</si>
  <si>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</si>
  <si>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</si>
  <si>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</si>
  <si>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</si>
  <si>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</si>
  <si>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</si>
  <si>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</si>
  <si>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</si>
  <si>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</si>
  <si>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</si>
  <si>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</si>
  <si>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</si>
  <si>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</si>
  <si>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</si>
  <si>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</si>
  <si>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010536067</t>
  </si>
  <si>
    <t>010534625</t>
  </si>
  <si>
    <t>010534642</t>
  </si>
  <si>
    <t>010534614</t>
  </si>
  <si>
    <t>010536462</t>
  </si>
  <si>
    <t>010534598</t>
  </si>
  <si>
    <t>010534252</t>
  </si>
  <si>
    <t>010534647</t>
  </si>
  <si>
    <t>010534662</t>
  </si>
  <si>
    <t>010534638</t>
  </si>
  <si>
    <t>010534253</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</si>
  <si>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</si>
  <si>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</si>
  <si>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</si>
  <si>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</si>
  <si>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</si>
  <si>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</si>
  <si>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</si>
  <si>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</si>
  <si>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</si>
  <si>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</si>
  <si>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</si>
  <si>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</si>
  <si>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</si>
  <si>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</si>
  <si>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</si>
  <si>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</si>
  <si>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</si>
  <si>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https://www.insee.fr/fr/statistiques/6020697</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</si>
  <si>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</si>
  <si>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</si>
  <si>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</si>
  <si>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</si>
  <si>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</si>
  <si>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https://www.fntp.fr/sites/default/files/content/indice_fioul_lourd.pdf</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</si>
  <si>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</si>
  <si>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</si>
  <si>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</si>
  <si>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</si>
  <si>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</si>
  <si>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</si>
  <si>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</si>
  <si>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</si>
  <si>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</si>
  <si>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</si>
  <si>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</si>
  <si>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</si>
  <si>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</si>
  <si>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</si>
  <si>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https://www.insee.fr/fr/statistiques/serie/010534559</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</si>
  <si>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</si>
  <si>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</si>
  <si>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</si>
  <si>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</si>
  <si>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</si>
  <si>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</si>
  <si>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</si>
  <si>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</si>
  <si>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</si>
  <si>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</si>
  <si>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</si>
  <si>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https://www.insee.fr/fr/statistiques/serie/010534667</t>
  </si>
  <si>
    <t>https://www.insee.fr/fr/statistiques/serie/001763781</t>
  </si>
  <si>
    <t>https://www.insee.fr/fr/statistiques/serie/010534789</t>
  </si>
  <si>
    <t>https://www.insee.fr/fr/statistiques/serie/010534784</t>
  </si>
  <si>
    <t>Matériel</t>
  </si>
  <si>
    <t>Travail</t>
  </si>
  <si>
    <t>Travail activités spécialisées</t>
  </si>
  <si>
    <t>GNR</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</si>
  <si>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</si>
  <si>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</si>
  <si>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</si>
  <si>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</si>
  <si>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</si>
  <si>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</si>
  <si>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</si>
  <si>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</si>
  <si>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</si>
  <si>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</si>
  <si>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</si>
  <si>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</si>
  <si>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</si>
  <si>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</si>
  <si>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</si>
  <si>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</si>
  <si>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</si>
  <si>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Autres textiles n.c.a.</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</si>
  <si>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</si>
  <si>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</si>
  <si>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</si>
  <si>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</si>
  <si>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</si>
  <si>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</si>
  <si>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</si>
  <si>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</si>
  <si>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</si>
  <si>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</si>
  <si>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</si>
  <si>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</si>
  <si>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</si>
  <si>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</si>
  <si>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</si>
  <si>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</si>
  <si>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</si>
  <si>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</si>
  <si>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</si>
  <si>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</si>
  <si>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</si>
  <si>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</si>
  <si>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</si>
  <si>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</si>
  <si>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</si>
  <si>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</si>
  <si>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</si>
  <si>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</si>
  <si>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</si>
  <si>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</si>
  <si>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</si>
  <si>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</si>
  <si>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</si>
  <si>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</si>
  <si>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</si>
  <si>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</si>
  <si>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</si>
  <si>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</si>
  <si>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</si>
  <si>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</si>
  <si>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</si>
  <si>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</si>
  <si>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</si>
  <si>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</si>
  <si>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</si>
  <si>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</si>
  <si>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</si>
  <si>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</si>
  <si>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</si>
  <si>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</si>
  <si>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</si>
  <si>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</si>
  <si>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</si>
  <si>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</si>
  <si>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</si>
  <si>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</si>
  <si>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</si>
  <si>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</si>
  <si>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</si>
  <si>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</si>
  <si>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</si>
  <si>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</si>
  <si>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</si>
  <si>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</si>
  <si>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</si>
  <si>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</si>
  <si>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</si>
  <si>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</si>
  <si>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</si>
  <si>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</si>
  <si>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</si>
  <si>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</si>
  <si>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</si>
  <si>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</si>
  <si>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</si>
  <si>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</si>
  <si>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</si>
  <si>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</si>
  <si>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</si>
  <si>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https://www.insee.fr/fr/statistiques/serie/001710998</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</si>
  <si>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</si>
  <si>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</si>
  <si>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</si>
  <si>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</si>
  <si>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</si>
  <si>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</si>
  <si>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</si>
  <si>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</si>
  <si>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https://www.insee.fr/fr/statistiques/serie/001711005</t>
  </si>
  <si>
    <t>https://www.insee.fr/fr/statistiques/serie/001711006</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</si>
  <si>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</si>
  <si>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</si>
  <si>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</si>
  <si>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</si>
  <si>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</si>
  <si>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</si>
  <si>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</si>
  <si>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</si>
  <si>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</si>
  <si>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</si>
  <si>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</si>
  <si>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</si>
  <si>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</si>
  <si>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</si>
  <si>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</si>
  <si>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</si>
  <si>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</si>
  <si>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</si>
  <si>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</si>
  <si>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</si>
  <si>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r>
      <t>Pour les indices suivants, les</t>
    </r>
    <r>
      <rPr>
        <sz val="11"/>
        <color theme="7"/>
        <rFont val="Calibri"/>
        <family val="2"/>
        <scheme val="minor"/>
      </rPr>
      <t xml:space="preserve"> dernières valeurs disponibles</t>
    </r>
    <r>
      <rPr>
        <sz val="11"/>
        <color theme="1"/>
        <rFont val="Calibri"/>
        <family val="2"/>
        <scheme val="minor"/>
      </rPr>
      <t xml:space="preserve"> sont conservées : </t>
    </r>
  </si>
  <si>
    <t xml:space="preserve">Matériel, Travail, Travail et Activités spécialisées, Frais divers, Transports routiers, Matières plastiques sous formes primais, Fils et câbles d'énergie.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</si>
  <si>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</si>
  <si>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</si>
  <si>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</si>
  <si>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</si>
  <si>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</si>
  <si>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</si>
  <si>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</si>
  <si>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</si>
  <si>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</si>
  <si>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</si>
  <si>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</si>
  <si>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</si>
  <si>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010758171</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</si>
  <si>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</si>
  <si>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</si>
  <si>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</si>
  <si>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</si>
  <si>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</si>
  <si>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</si>
  <si>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Autres produits explosifs</t>
  </si>
  <si>
    <t>https://www.insee.fr/fr/statistiques/serie/'010534613</t>
  </si>
  <si>
    <t>https://www.insee.fr/fr/statistiques/serie/010534554</t>
  </si>
  <si>
    <t>010534554</t>
  </si>
  <si>
    <t>Autres textiles</t>
  </si>
  <si>
    <t xml:space="preserve">Autres textiles </t>
  </si>
  <si>
    <t>https://www.insee.fr/fr/statistiques/6474514</t>
  </si>
  <si>
    <t>Gaz naturel</t>
  </si>
  <si>
    <t>https://insee.fr/fr/statistiques/serie/010534776</t>
  </si>
  <si>
    <t>010534776</t>
  </si>
  <si>
    <t>https://www.insee.fr/fr/statistiques/serie/010534776</t>
  </si>
  <si>
    <t>Réseaux d’assainissement</t>
  </si>
  <si>
    <t>https://www.insee.fr/fr/statistiques/serie/010760506</t>
  </si>
  <si>
    <t>010760506</t>
  </si>
  <si>
    <t>Pour les indices suivants, les valeurs sont actualisées à juin 2022 :</t>
  </si>
  <si>
    <t>Travail, Travail activités spécialisées, Fils et câbles d'énergie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</si>
</sst>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 numFmtId="176" formatCode="0.000%"/>
  </numFmts>
  <fonts count="43" x14ac:knownFonts="1">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1"/>
      <color theme="7"/>
      <name val="Calibri"/>
      <family val="2"/>
      <scheme val="minor"/>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u/>
      <sz val="9"/>
      <color theme="10"/>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sz val="10"/>
      <color rgb="FF000000"/>
      <name val="Arial"/>
    </font>
    <font>
      <u/>
      <sz val="10"/>
      <color theme="10"/>
      <name val="Calibri"/>
      <family val="2"/>
      <scheme val="minor"/>
    </font>
  </fonts>
  <fills count="12">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bgColor indexed="64"/>
      </patternFill>
    </fill>
    <fill>
      <patternFill patternType="solid">
        <fgColor theme="0"/>
        <bgColor indexed="64"/>
      </patternFill>
    </fill>
    <fill>
      <patternFill patternType="solid">
        <fgColor rgb="FFCCFFFF"/>
        <bgColor rgb="FF000000"/>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s>
  <cellStyleXfs count="6">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2" fillId="0" borderId="0"/>
    <xf numFmtId="167" fontId="12" fillId="0" borderId="0" applyFont="0" applyFill="0" applyBorder="0" applyAlignment="0" applyProtection="0"/>
    <xf numFmtId="9" fontId="12" fillId="0" borderId="0" applyFont="0" applyFill="0" applyBorder="0" applyAlignment="0" applyProtection="0"/>
  </cellStyleXfs>
  <cellXfs count="299">
    <xf numFmtId="0" fontId="0" fillId="0" borderId="0" xfId="0"/>
    <xf numFmtId="164" fontId="0" fillId="0" borderId="0" xfId="0" applyNumberFormat="1"/>
    <xf numFmtId="17" fontId="0" fillId="0" borderId="0" xfId="0" applyNumberFormat="1"/>
    <xf numFmtId="0" fontId="1" fillId="0" borderId="0" xfId="0" applyFont="1"/>
    <xf numFmtId="0" fontId="0" fillId="0" borderId="0" xfId="0" applyNumberForma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applyFill="1"/>
    <xf numFmtId="0" fontId="0" fillId="0" borderId="0" xfId="0" applyFill="1" applyAlignment="1">
      <alignment horizontal="center" vertical="center" wrapText="1"/>
    </xf>
    <xf numFmtId="0" fontId="10" fillId="0" borderId="0" xfId="0" applyFont="1" applyFill="1" applyAlignment="1">
      <alignment horizontal="center" vertical="center" wrapText="1"/>
    </xf>
    <xf numFmtId="0" fontId="0" fillId="0" borderId="0" xfId="0" quotePrefix="1" applyFill="1" applyAlignment="1">
      <alignment horizontal="center" vertical="center" wrapText="1"/>
    </xf>
    <xf numFmtId="0" fontId="0" fillId="0" borderId="0" xfId="0" quotePrefix="1" applyFill="1"/>
    <xf numFmtId="0" fontId="0" fillId="0" borderId="0" xfId="0" applyFill="1" applyAlignment="1">
      <alignment horizontal="center" vertical="center"/>
    </xf>
    <xf numFmtId="0" fontId="0" fillId="0" borderId="0" xfId="0" quotePrefix="1" applyFill="1" applyAlignment="1">
      <alignment horizontal="center" vertical="center"/>
    </xf>
    <xf numFmtId="164" fontId="0" fillId="0" borderId="0" xfId="0" applyNumberFormat="1" applyFill="1"/>
    <xf numFmtId="166" fontId="0" fillId="0" borderId="0" xfId="0" applyNumberFormat="1" applyFill="1"/>
    <xf numFmtId="166" fontId="0" fillId="5" borderId="0" xfId="0" applyNumberFormat="1" applyFill="1"/>
    <xf numFmtId="0" fontId="0" fillId="5" borderId="0" xfId="0" applyFill="1"/>
    <xf numFmtId="0" fontId="9" fillId="0" borderId="0" xfId="2"/>
    <xf numFmtId="2" fontId="0" fillId="0" borderId="0" xfId="0" applyNumberFormat="1" applyFill="1"/>
    <xf numFmtId="2" fontId="0" fillId="0" borderId="0" xfId="1" applyNumberFormat="1" applyFont="1" applyFill="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1" fillId="0" borderId="0" xfId="0" applyFont="1" applyFill="1" applyAlignment="1" applyProtection="1">
      <alignment vertical="center"/>
      <protection hidden="1"/>
    </xf>
    <xf numFmtId="0" fontId="0" fillId="6" borderId="0" xfId="0" applyFill="1"/>
    <xf numFmtId="0" fontId="9" fillId="6" borderId="0" xfId="2" applyFill="1" applyAlignment="1">
      <alignment horizontal="center" vertical="center" wrapText="1"/>
    </xf>
    <xf numFmtId="0" fontId="12" fillId="6" borderId="0" xfId="3" applyFill="1"/>
    <xf numFmtId="0" fontId="12" fillId="0" borderId="0" xfId="3"/>
    <xf numFmtId="0" fontId="0" fillId="0" borderId="8" xfId="0" applyBorder="1"/>
    <xf numFmtId="0" fontId="1" fillId="0" borderId="2" xfId="0" applyNumberFormat="1" applyFont="1" applyBorder="1"/>
    <xf numFmtId="0" fontId="1" fillId="0" borderId="7" xfId="0" applyNumberFormat="1" applyFont="1" applyBorder="1"/>
    <xf numFmtId="0" fontId="4" fillId="0" borderId="2" xfId="0" applyFont="1" applyBorder="1" applyAlignment="1">
      <alignment horizontal="center" vertical="center"/>
    </xf>
    <xf numFmtId="0" fontId="5" fillId="0" borderId="0" xfId="0" applyFont="1"/>
    <xf numFmtId="0" fontId="1" fillId="0" borderId="0" xfId="0" applyNumberFormat="1" applyFont="1" applyFill="1" applyBorder="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4" fillId="0" borderId="0" xfId="0" applyFont="1" applyAlignment="1" applyProtection="1">
      <alignment vertical="center"/>
      <protection hidden="1"/>
    </xf>
    <xf numFmtId="0" fontId="15" fillId="0" borderId="0" xfId="0" applyFont="1" applyAlignment="1" applyProtection="1">
      <alignment vertical="center" wrapText="1"/>
      <protection hidden="1"/>
    </xf>
    <xf numFmtId="0" fontId="16"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4" fillId="0" borderId="0" xfId="0" applyFont="1" applyAlignment="1" applyProtection="1">
      <alignment horizontal="center" vertical="center" wrapText="1"/>
      <protection hidden="1"/>
    </xf>
    <xf numFmtId="168" fontId="14" fillId="0" borderId="0" xfId="1" applyNumberFormat="1" applyFont="1" applyBorder="1" applyAlignment="1" applyProtection="1">
      <alignment horizontal="center" vertical="center"/>
      <protection hidden="1"/>
    </xf>
    <xf numFmtId="0" fontId="15"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3" fillId="0" borderId="0" xfId="0" applyFont="1" applyAlignment="1" applyProtection="1">
      <alignment horizontal="left" vertical="center" wrapText="1"/>
      <protection hidden="1"/>
    </xf>
    <xf numFmtId="168" fontId="13" fillId="0" borderId="0" xfId="1" applyNumberFormat="1" applyFont="1" applyBorder="1" applyAlignment="1" applyProtection="1">
      <alignment horizontal="center" vertical="center"/>
      <protection hidden="1"/>
    </xf>
    <xf numFmtId="9" fontId="14" fillId="0" borderId="0" xfId="1" applyFont="1" applyBorder="1" applyAlignment="1" applyProtection="1">
      <alignment horizontal="center" vertical="center"/>
      <protection hidden="1"/>
    </xf>
    <xf numFmtId="0" fontId="13"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3"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4" fillId="0" borderId="8" xfId="0" applyNumberFormat="1" applyFont="1" applyBorder="1" applyAlignment="1" applyProtection="1">
      <alignment horizontal="center" vertical="center"/>
      <protection hidden="1"/>
    </xf>
    <xf numFmtId="0" fontId="18"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4" fillId="0" borderId="0" xfId="1" applyFont="1" applyAlignment="1" applyProtection="1">
      <alignment vertical="center"/>
      <protection hidden="1"/>
    </xf>
    <xf numFmtId="9" fontId="20" fillId="0" borderId="0" xfId="1" applyFont="1" applyAlignment="1" applyProtection="1">
      <alignment horizontal="left" vertical="center" indent="5"/>
      <protection hidden="1"/>
    </xf>
    <xf numFmtId="9" fontId="20" fillId="0" borderId="0" xfId="1" applyFont="1" applyAlignment="1" applyProtection="1">
      <alignment horizontal="left" vertical="center" indent="1"/>
      <protection hidden="1"/>
    </xf>
    <xf numFmtId="0" fontId="0" fillId="0" borderId="0" xfId="0" applyFont="1"/>
    <xf numFmtId="0" fontId="0" fillId="0" borderId="0" xfId="0" quotePrefix="1"/>
    <xf numFmtId="10" fontId="0" fillId="0" borderId="0" xfId="0" applyNumberFormat="1"/>
    <xf numFmtId="9" fontId="0" fillId="0" borderId="0" xfId="0" applyNumberFormat="1"/>
    <xf numFmtId="9" fontId="0" fillId="0" borderId="0" xfId="0" quotePrefix="1" applyNumberFormat="1"/>
    <xf numFmtId="0" fontId="0" fillId="8" borderId="0" xfId="0" applyFill="1"/>
    <xf numFmtId="0" fontId="0" fillId="9" borderId="0" xfId="0" applyFill="1"/>
    <xf numFmtId="0" fontId="0" fillId="7" borderId="0" xfId="0" applyFill="1"/>
    <xf numFmtId="0" fontId="0" fillId="7" borderId="0" xfId="0" quotePrefix="1" applyFill="1"/>
    <xf numFmtId="0" fontId="1" fillId="0" borderId="0" xfId="0" applyFont="1" applyAlignment="1">
      <alignment vertical="center"/>
    </xf>
    <xf numFmtId="0" fontId="12" fillId="0" borderId="0" xfId="3" applyFill="1"/>
    <xf numFmtId="169" fontId="21" fillId="0" borderId="0" xfId="1" applyNumberFormat="1" applyFont="1"/>
    <xf numFmtId="2" fontId="0" fillId="0" borderId="0" xfId="0" applyNumberFormat="1"/>
    <xf numFmtId="0" fontId="1" fillId="0" borderId="0" xfId="0" quotePrefix="1" applyFont="1" applyAlignment="1">
      <alignment vertical="center"/>
    </xf>
    <xf numFmtId="0" fontId="4" fillId="0" borderId="0" xfId="0" applyFont="1" applyAlignment="1" applyProtection="1">
      <alignment horizontal="center" vertical="center"/>
      <protection hidden="1"/>
    </xf>
    <xf numFmtId="0" fontId="4" fillId="0" borderId="0" xfId="0" applyFont="1"/>
    <xf numFmtId="0" fontId="18" fillId="0" borderId="0" xfId="0" applyFont="1" applyAlignment="1" applyProtection="1">
      <alignment horizontal="left" vertical="center" indent="2"/>
      <protection hidden="1"/>
    </xf>
    <xf numFmtId="14" fontId="0" fillId="0" borderId="0" xfId="0" applyNumberFormat="1" applyFont="1" applyAlignment="1">
      <alignment vertical="center"/>
    </xf>
    <xf numFmtId="17" fontId="0" fillId="0" borderId="0" xfId="0" applyNumberFormat="1" applyFont="1" applyAlignment="1">
      <alignment vertical="center"/>
    </xf>
    <xf numFmtId="0" fontId="0" fillId="0" borderId="0" xfId="0" applyFont="1"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Font="1" applyAlignment="1">
      <alignment vertical="center"/>
    </xf>
    <xf numFmtId="0" fontId="0" fillId="0" borderId="0" xfId="0" applyFont="1" applyFill="1" applyAlignment="1">
      <alignment vertical="center"/>
    </xf>
    <xf numFmtId="17" fontId="0" fillId="0" borderId="0" xfId="0" applyNumberFormat="1" applyFont="1" applyFill="1" applyAlignment="1">
      <alignment vertical="center"/>
    </xf>
    <xf numFmtId="166" fontId="0" fillId="0" borderId="0" xfId="0" applyNumberFormat="1" applyFont="1" applyFill="1" applyAlignment="1">
      <alignment vertical="center"/>
    </xf>
    <xf numFmtId="170" fontId="0" fillId="0" borderId="0" xfId="0" applyNumberFormat="1" applyFont="1"/>
    <xf numFmtId="169" fontId="4" fillId="0" borderId="0" xfId="1" applyNumberFormat="1" applyFont="1"/>
    <xf numFmtId="0" fontId="0" fillId="0" borderId="0" xfId="0"/>
    <xf numFmtId="171" fontId="0" fillId="0" borderId="0" xfId="0" applyNumberFormat="1"/>
    <xf numFmtId="166" fontId="12" fillId="0" borderId="0" xfId="3" applyNumberFormat="1"/>
    <xf numFmtId="165" fontId="0" fillId="0" borderId="0" xfId="0" applyNumberFormat="1" applyFont="1" applyAlignment="1">
      <alignment vertical="center"/>
    </xf>
    <xf numFmtId="165" fontId="0" fillId="0" borderId="0" xfId="0" applyNumberFormat="1" applyFont="1"/>
    <xf numFmtId="14" fontId="0" fillId="0" borderId="0" xfId="0" applyNumberFormat="1" applyFont="1" applyFill="1" applyAlignment="1">
      <alignment vertical="center"/>
    </xf>
    <xf numFmtId="166" fontId="0" fillId="0" borderId="0" xfId="0" applyNumberFormat="1" applyFont="1"/>
    <xf numFmtId="0" fontId="1" fillId="0" borderId="0" xfId="0" applyFont="1" applyBorder="1" applyAlignment="1" applyProtection="1">
      <alignment vertical="center"/>
      <protection hidden="1"/>
    </xf>
    <xf numFmtId="0" fontId="5" fillId="0" borderId="0" xfId="0" applyFont="1" applyBorder="1" applyAlignment="1" applyProtection="1">
      <alignment vertical="center"/>
      <protection hidden="1"/>
    </xf>
    <xf numFmtId="0" fontId="0" fillId="0" borderId="0" xfId="0" applyAlignment="1"/>
    <xf numFmtId="0" fontId="0" fillId="0" borderId="0" xfId="0" applyAlignment="1">
      <alignment readingOrder="1"/>
    </xf>
    <xf numFmtId="0" fontId="21" fillId="0" borderId="0" xfId="0" applyFont="1" applyAlignment="1">
      <alignment horizontal="center"/>
    </xf>
    <xf numFmtId="0" fontId="21" fillId="0" borderId="0" xfId="0" applyFont="1" applyAlignment="1">
      <alignment vertical="center"/>
    </xf>
    <xf numFmtId="0" fontId="24" fillId="0" borderId="0" xfId="0" applyFont="1" applyAlignment="1">
      <alignment horizontal="center" vertical="center"/>
    </xf>
    <xf numFmtId="0" fontId="25" fillId="0" borderId="0" xfId="0" applyFont="1"/>
    <xf numFmtId="170" fontId="0" fillId="0" borderId="0" xfId="0" applyNumberFormat="1"/>
    <xf numFmtId="0" fontId="0" fillId="0" borderId="0" xfId="0" applyAlignment="1">
      <alignment horizontal="center" vertical="center"/>
    </xf>
    <xf numFmtId="170" fontId="0" fillId="0" borderId="2" xfId="0" applyNumberFormat="1" applyBorder="1"/>
    <xf numFmtId="2" fontId="0" fillId="0" borderId="8" xfId="0" applyNumberFormat="1" applyBorder="1"/>
    <xf numFmtId="170" fontId="0" fillId="0" borderId="10" xfId="0" applyNumberFormat="1" applyBorder="1"/>
    <xf numFmtId="0" fontId="0" fillId="0" borderId="0" xfId="0"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0" xfId="0" applyNumberFormat="1" applyBorder="1"/>
    <xf numFmtId="170" fontId="0" fillId="0" borderId="7" xfId="0" applyNumberFormat="1" applyBorder="1"/>
    <xf numFmtId="0" fontId="0" fillId="0" borderId="14" xfId="0" applyBorder="1"/>
    <xf numFmtId="0" fontId="0" fillId="0" borderId="5" xfId="0"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3" fillId="0" borderId="0" xfId="1" applyNumberFormat="1" applyFont="1" applyBorder="1" applyAlignment="1">
      <alignment horizontal="center" vertical="center"/>
    </xf>
    <xf numFmtId="168" fontId="28" fillId="0" borderId="0" xfId="1" applyNumberFormat="1" applyFont="1" applyBorder="1" applyAlignment="1">
      <alignment horizontal="left" vertical="center"/>
    </xf>
    <xf numFmtId="0" fontId="4" fillId="0" borderId="1" xfId="0" applyFont="1" applyBorder="1" applyAlignment="1">
      <alignment horizontal="center" vertical="center"/>
    </xf>
    <xf numFmtId="0" fontId="3" fillId="2" borderId="0" xfId="0" applyFont="1" applyFill="1" applyAlignment="1" applyProtection="1">
      <alignment horizontal="left" vertical="center"/>
      <protection hidden="1"/>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4"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2" fillId="0" borderId="0" xfId="0" quotePrefix="1" applyFont="1" applyAlignment="1" applyProtection="1">
      <alignment vertical="top" wrapText="1"/>
      <protection hidden="1"/>
    </xf>
    <xf numFmtId="0" fontId="0" fillId="0" borderId="0" xfId="0" applyAlignment="1">
      <alignment horizontal="center" vertical="center"/>
    </xf>
    <xf numFmtId="0" fontId="1" fillId="0" borderId="2" xfId="0" applyFont="1" applyFill="1" applyBorder="1"/>
    <xf numFmtId="0" fontId="1" fillId="10" borderId="1" xfId="0" applyFont="1" applyFill="1" applyBorder="1"/>
    <xf numFmtId="164" fontId="33" fillId="0" borderId="0" xfId="0" applyNumberFormat="1" applyFont="1"/>
    <xf numFmtId="0" fontId="33" fillId="0" borderId="0" xfId="0" applyFont="1"/>
    <xf numFmtId="0" fontId="17" fillId="6" borderId="1" xfId="0" applyFont="1" applyFill="1" applyBorder="1" applyAlignment="1">
      <alignment horizontal="center" vertical="center"/>
    </xf>
    <xf numFmtId="0" fontId="34" fillId="0" borderId="1" xfId="2" applyFont="1" applyBorder="1"/>
    <xf numFmtId="168" fontId="13" fillId="0" borderId="0" xfId="1" applyNumberFormat="1" applyFont="1" applyBorder="1" applyAlignment="1" applyProtection="1">
      <alignment horizontal="center" vertical="center"/>
      <protection hidden="1"/>
    </xf>
    <xf numFmtId="0" fontId="0" fillId="0" borderId="0" xfId="0"/>
    <xf numFmtId="0" fontId="0" fillId="0" borderId="0" xfId="0" applyAlignment="1">
      <alignment wrapText="1"/>
    </xf>
    <xf numFmtId="0" fontId="33" fillId="0" borderId="0" xfId="2" applyFont="1"/>
    <xf numFmtId="165" fontId="0" fillId="0" borderId="0" xfId="0" applyNumberFormat="1" applyAlignment="1">
      <alignment horizontal="right" vertical="center"/>
    </xf>
    <xf numFmtId="0" fontId="3" fillId="0" borderId="0" xfId="0" applyFont="1" applyFill="1" applyAlignment="1"/>
    <xf numFmtId="0" fontId="0" fillId="0" borderId="1" xfId="0" applyBorder="1"/>
    <xf numFmtId="0" fontId="39" fillId="0" borderId="0" xfId="0" applyFont="1"/>
    <xf numFmtId="0" fontId="40" fillId="0" borderId="0" xfId="0" applyFont="1"/>
    <xf numFmtId="0" fontId="37" fillId="0" borderId="0" xfId="0" applyFont="1" applyAlignment="1"/>
    <xf numFmtId="173" fontId="0" fillId="0" borderId="0" xfId="0" applyNumberFormat="1"/>
    <xf numFmtId="17" fontId="0" fillId="7" borderId="0" xfId="0" applyNumberFormat="1" applyFill="1"/>
    <xf numFmtId="0" fontId="0" fillId="0" borderId="0" xfId="0" quotePrefix="1" applyNumberFormat="1" applyFill="1" applyAlignment="1">
      <alignment horizontal="center" vertical="center" wrapText="1"/>
    </xf>
    <xf numFmtId="0" fontId="1" fillId="0" borderId="0" xfId="0" quotePrefix="1" applyFont="1"/>
    <xf numFmtId="0" fontId="0" fillId="0" borderId="0" xfId="0" quotePrefix="1" applyNumberFormat="1"/>
    <xf numFmtId="0" fontId="17" fillId="6" borderId="1" xfId="0" quotePrefix="1" applyFont="1" applyFill="1" applyBorder="1" applyAlignment="1">
      <alignment horizontal="center" vertical="center"/>
    </xf>
    <xf numFmtId="0" fontId="0" fillId="0" borderId="0" xfId="0"/>
    <xf numFmtId="0" fontId="14" fillId="0" borderId="0" xfId="0" applyFont="1" applyAlignment="1" applyProtection="1">
      <alignment vertical="center" wrapText="1"/>
      <protection hidden="1"/>
    </xf>
    <xf numFmtId="9" fontId="14" fillId="0" borderId="0" xfId="1" applyFont="1" applyAlignment="1" applyProtection="1">
      <alignment horizontal="center" vertical="center"/>
      <protection hidden="1"/>
    </xf>
    <xf numFmtId="0" fontId="0" fillId="0" borderId="0" xfId="0"/>
    <xf numFmtId="168" fontId="13" fillId="0" borderId="0" xfId="1" applyNumberFormat="1" applyFont="1" applyBorder="1" applyAlignment="1" applyProtection="1">
      <alignment horizontal="center" vertical="center"/>
      <protection hidden="1"/>
    </xf>
    <xf numFmtId="0" fontId="0" fillId="0" borderId="0" xfId="0" applyAlignment="1">
      <alignment horizontal="center"/>
    </xf>
    <xf numFmtId="169" fontId="4" fillId="0" borderId="2" xfId="0" applyNumberFormat="1" applyFont="1" applyFill="1" applyBorder="1" applyAlignment="1">
      <alignment horizontal="center" vertical="center"/>
    </xf>
    <xf numFmtId="169" fontId="4" fillId="0" borderId="4" xfId="0" applyNumberFormat="1" applyFont="1" applyBorder="1" applyAlignment="1">
      <alignment horizontal="center" vertical="center"/>
    </xf>
    <xf numFmtId="169" fontId="4" fillId="0" borderId="4" xfId="0" applyNumberFormat="1" applyFont="1" applyFill="1" applyBorder="1" applyAlignment="1">
      <alignment horizontal="center" vertical="center"/>
    </xf>
    <xf numFmtId="169" fontId="4" fillId="0" borderId="7" xfId="0" applyNumberFormat="1" applyFont="1" applyFill="1" applyBorder="1" applyAlignment="1">
      <alignment horizontal="center" vertical="center"/>
    </xf>
    <xf numFmtId="169" fontId="4" fillId="0" borderId="1" xfId="0" applyNumberFormat="1" applyFont="1" applyBorder="1" applyAlignment="1">
      <alignment horizontal="center" vertical="center"/>
    </xf>
    <xf numFmtId="169" fontId="4" fillId="0" borderId="2" xfId="0" applyNumberFormat="1" applyFont="1" applyBorder="1" applyAlignment="1">
      <alignment horizontal="center" vertical="center"/>
    </xf>
    <xf numFmtId="169" fontId="4" fillId="0" borderId="2" xfId="0" applyNumberFormat="1" applyFont="1" applyBorder="1"/>
    <xf numFmtId="169" fontId="4" fillId="0" borderId="4" xfId="0" applyNumberFormat="1" applyFont="1" applyBorder="1"/>
    <xf numFmtId="169" fontId="4" fillId="0" borderId="7"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4" fillId="0" borderId="0" xfId="1" applyNumberFormat="1" applyFont="1" applyBorder="1" applyAlignment="1" applyProtection="1">
      <alignment horizontal="center" vertical="center"/>
      <protection hidden="1"/>
    </xf>
    <xf numFmtId="0" fontId="0" fillId="0" borderId="0" xfId="0"/>
    <xf numFmtId="0" fontId="0" fillId="0" borderId="0" xfId="0"/>
    <xf numFmtId="0" fontId="9" fillId="0" borderId="0" xfId="2" applyFont="1"/>
    <xf numFmtId="0" fontId="0" fillId="0" borderId="0" xfId="0"/>
    <xf numFmtId="0" fontId="0" fillId="0" borderId="0" xfId="0"/>
    <xf numFmtId="0" fontId="0" fillId="0" borderId="0" xfId="0"/>
    <xf numFmtId="0" fontId="9" fillId="0" borderId="0" xfId="2" quotePrefix="1" applyFill="1" applyAlignment="1">
      <alignment horizontal="center" vertical="center"/>
    </xf>
    <xf numFmtId="0" fontId="0" fillId="0" borderId="0" xfId="0"/>
    <xf numFmtId="0" fontId="0" fillId="0" borderId="0" xfId="0"/>
    <xf numFmtId="0" fontId="9" fillId="0" borderId="0" xfId="2" applyAlignment="1">
      <alignment horizontal="left" vertical="center" wrapText="1" indent="1"/>
    </xf>
    <xf numFmtId="0" fontId="0" fillId="0" borderId="0" xfId="0" quotePrefix="1" applyFill="1" applyAlignment="1">
      <alignment horizontal="left" vertical="center" wrapText="1"/>
    </xf>
    <xf numFmtId="49" fontId="0" fillId="0" borderId="0" xfId="0" quotePrefix="1" applyNumberFormat="1" applyFill="1" applyAlignment="1">
      <alignment horizontal="left" vertical="center" wrapText="1"/>
    </xf>
    <xf numFmtId="169" fontId="0" fillId="0" borderId="0" xfId="1" applyNumberFormat="1" applyFont="1" applyFill="1"/>
    <xf numFmtId="0" fontId="1" fillId="0" borderId="2" xfId="0" applyNumberFormat="1" applyFont="1" applyFill="1" applyBorder="1"/>
    <xf numFmtId="0" fontId="0" fillId="0" borderId="0" xfId="0" applyAlignment="1">
      <alignment horizontal="center"/>
    </xf>
    <xf numFmtId="0" fontId="0" fillId="0" borderId="0" xfId="0"/>
    <xf numFmtId="175" fontId="1" fillId="0" borderId="0" xfId="0" applyNumberFormat="1" applyFont="1" applyAlignment="1" applyProtection="1">
      <alignment vertical="center"/>
      <protection hidden="1"/>
    </xf>
    <xf numFmtId="0" fontId="1" fillId="0" borderId="1" xfId="0" applyFont="1" applyFill="1" applyBorder="1"/>
    <xf numFmtId="0" fontId="0" fillId="0" borderId="0" xfId="0"/>
    <xf numFmtId="0" fontId="0" fillId="0" borderId="0" xfId="0"/>
    <xf numFmtId="0" fontId="0" fillId="0" borderId="0" xfId="0"/>
    <xf numFmtId="176" fontId="0" fillId="0" borderId="0" xfId="1" applyNumberFormat="1" applyFont="1"/>
    <xf numFmtId="0" fontId="0" fillId="0" borderId="0" xfId="0"/>
    <xf numFmtId="0" fontId="41" fillId="11" borderId="12" xfId="0" applyFont="1" applyFill="1" applyBorder="1" applyAlignment="1">
      <alignment horizontal="center"/>
    </xf>
    <xf numFmtId="0" fontId="0" fillId="6" borderId="0" xfId="0" applyFill="1" applyAlignment="1">
      <alignment wrapText="1"/>
    </xf>
    <xf numFmtId="0" fontId="0" fillId="0" borderId="0" xfId="0" applyFont="1" applyAlignment="1">
      <alignment horizontal="center"/>
    </xf>
    <xf numFmtId="0" fontId="0" fillId="0" borderId="0" xfId="0" applyFont="1" applyAlignment="1">
      <alignment horizontal="center" vertical="center"/>
    </xf>
    <xf numFmtId="0" fontId="23" fillId="0" borderId="0" xfId="0" applyFont="1" applyAlignment="1">
      <alignment horizontal="center"/>
    </xf>
    <xf numFmtId="14" fontId="21" fillId="0" borderId="9" xfId="0" applyNumberFormat="1" applyFont="1" applyBorder="1" applyAlignment="1">
      <alignment horizontal="center" vertical="center"/>
    </xf>
    <xf numFmtId="0" fontId="21" fillId="0" borderId="9" xfId="0" applyFont="1" applyBorder="1" applyAlignment="1">
      <alignment horizontal="center" vertical="center"/>
    </xf>
    <xf numFmtId="0" fontId="27" fillId="0" borderId="0" xfId="0" applyFont="1" applyFill="1" applyAlignment="1">
      <alignment horizontal="center" vertical="center"/>
    </xf>
    <xf numFmtId="0" fontId="27" fillId="0" borderId="9" xfId="0" applyFont="1" applyFill="1" applyBorder="1" applyAlignment="1">
      <alignment horizontal="center" vertical="center"/>
    </xf>
    <xf numFmtId="0" fontId="23" fillId="0" borderId="0" xfId="0" applyFont="1" applyAlignment="1">
      <alignment horizontal="center" vertical="center"/>
    </xf>
    <xf numFmtId="0" fontId="23" fillId="0" borderId="0" xfId="0" applyFont="1" applyBorder="1" applyAlignment="1">
      <alignment horizontal="center"/>
    </xf>
    <xf numFmtId="0" fontId="21" fillId="0" borderId="0" xfId="0" applyFont="1" applyAlignment="1">
      <alignment horizontal="center"/>
    </xf>
    <xf numFmtId="0" fontId="21" fillId="0" borderId="0" xfId="0" applyFont="1" applyAlignment="1">
      <alignment horizontal="center" vertical="center"/>
    </xf>
    <xf numFmtId="0" fontId="26" fillId="0" borderId="0" xfId="0" applyFont="1" applyAlignment="1">
      <alignment horizontal="center" vertical="center"/>
    </xf>
    <xf numFmtId="0" fontId="38" fillId="0" borderId="0" xfId="0" applyFont="1" applyAlignment="1">
      <alignment horizontal="center" vertical="center"/>
    </xf>
    <xf numFmtId="0" fontId="26" fillId="0" borderId="0" xfId="0" applyFont="1" applyAlignment="1">
      <alignment horizontal="center"/>
    </xf>
    <xf numFmtId="0" fontId="38" fillId="0" borderId="0" xfId="0" applyFont="1" applyAlignment="1">
      <alignment horizontal="center"/>
    </xf>
    <xf numFmtId="0" fontId="0" fillId="0" borderId="0" xfId="0" applyAlignment="1">
      <alignment horizontal="center"/>
    </xf>
    <xf numFmtId="165" fontId="21" fillId="0" borderId="0" xfId="0" applyNumberFormat="1" applyFont="1" applyAlignment="1">
      <alignment horizontal="center" vertical="center"/>
    </xf>
    <xf numFmtId="0" fontId="36" fillId="0" borderId="0" xfId="0" applyFont="1"/>
    <xf numFmtId="0" fontId="26" fillId="0" borderId="0" xfId="0" applyFont="1" applyAlignment="1">
      <alignment horizontal="left" vertical="center"/>
    </xf>
    <xf numFmtId="0" fontId="38" fillId="0" borderId="0" xfId="0" applyFont="1" applyAlignment="1">
      <alignment horizontal="left" vertical="center"/>
    </xf>
    <xf numFmtId="0" fontId="0" fillId="0" borderId="0" xfId="0"/>
    <xf numFmtId="0" fontId="32" fillId="0" borderId="0" xfId="0" applyFont="1" applyAlignment="1" applyProtection="1">
      <alignment horizontal="left" wrapText="1"/>
      <protection hidden="1"/>
    </xf>
    <xf numFmtId="0" fontId="32" fillId="0" borderId="0" xfId="0" quotePrefix="1" applyFont="1" applyAlignment="1" applyProtection="1">
      <alignment horizontal="left" vertical="top"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 fillId="6" borderId="0" xfId="0" quotePrefix="1" applyFont="1" applyFill="1" applyAlignment="1" applyProtection="1">
      <alignment horizontal="left"/>
      <protection hidden="1"/>
    </xf>
    <xf numFmtId="0" fontId="32" fillId="0" borderId="0" xfId="0" quotePrefix="1" applyFont="1" applyAlignment="1" applyProtection="1">
      <alignment horizontal="left" vertical="center" wrapText="1" indent="1"/>
      <protection hidden="1"/>
    </xf>
    <xf numFmtId="0" fontId="14" fillId="0" borderId="0" xfId="0" applyFont="1" applyAlignment="1" applyProtection="1">
      <alignment vertical="center" wrapText="1"/>
      <protection hidden="1"/>
    </xf>
    <xf numFmtId="0" fontId="14" fillId="0" borderId="0" xfId="0" applyFont="1" applyAlignment="1" applyProtection="1">
      <alignment horizontal="left" vertical="center" wrapText="1"/>
      <protection hidden="1"/>
    </xf>
    <xf numFmtId="0" fontId="3" fillId="2" borderId="0" xfId="0" applyFont="1" applyFill="1" applyAlignment="1" applyProtection="1">
      <alignment horizontal="center" vertical="center"/>
      <protection hidden="1"/>
    </xf>
    <xf numFmtId="0" fontId="32" fillId="0" borderId="0" xfId="0" quotePrefix="1" applyFont="1" applyAlignment="1" applyProtection="1">
      <alignment horizontal="left" vertical="top" wrapText="1" indent="1"/>
      <protection hidden="1"/>
    </xf>
    <xf numFmtId="0" fontId="19" fillId="0" borderId="0" xfId="0" applyFont="1" applyAlignment="1" applyProtection="1">
      <alignment horizontal="left" vertical="center" wrapText="1"/>
      <protection hidden="1"/>
    </xf>
    <xf numFmtId="0" fontId="4" fillId="0" borderId="0" xfId="0" applyFont="1" applyAlignment="1" applyProtection="1">
      <alignment horizontal="center" vertical="center"/>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32" fillId="0" borderId="0" xfId="0"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0" fontId="32" fillId="0" borderId="0" xfId="0" quotePrefix="1" applyFont="1" applyAlignment="1" applyProtection="1">
      <alignment horizontal="left" vertical="center" wrapText="1"/>
      <protection hidden="1"/>
    </xf>
    <xf numFmtId="168" fontId="13" fillId="0" borderId="0" xfId="1" applyNumberFormat="1" applyFont="1" applyBorder="1" applyAlignment="1" applyProtection="1">
      <alignment horizontal="center" vertical="center"/>
      <protection hidden="1"/>
    </xf>
    <xf numFmtId="0" fontId="3" fillId="6" borderId="0" xfId="0" applyFont="1" applyFill="1" applyAlignment="1" applyProtection="1">
      <alignment horizontal="center" vertical="center" wrapText="1"/>
      <protection hidden="1"/>
    </xf>
    <xf numFmtId="0" fontId="22" fillId="0" borderId="0" xfId="0" applyFont="1" applyAlignment="1" applyProtection="1">
      <alignment horizontal="center" vertical="center"/>
      <protection hidden="1"/>
    </xf>
    <xf numFmtId="0" fontId="4" fillId="0" borderId="0" xfId="0" applyNumberFormat="1" applyFont="1" applyBorder="1" applyAlignment="1" applyProtection="1">
      <alignment horizontal="center" vertical="center" wrapText="1"/>
      <protection hidden="1"/>
    </xf>
    <xf numFmtId="168" fontId="13" fillId="0" borderId="8" xfId="1" applyNumberFormat="1" applyFont="1" applyBorder="1" applyAlignment="1" applyProtection="1">
      <alignment horizontal="center" vertical="center"/>
      <protection hidden="1"/>
    </xf>
    <xf numFmtId="168" fontId="13" fillId="0" borderId="9" xfId="1" applyNumberFormat="1" applyFont="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0" fillId="0" borderId="1" xfId="0" applyBorder="1" applyAlignment="1">
      <alignment horizontal="center"/>
    </xf>
    <xf numFmtId="0" fontId="3" fillId="2" borderId="0" xfId="0" applyFont="1" applyFill="1"/>
    <xf numFmtId="0" fontId="35" fillId="2" borderId="0" xfId="0" applyFont="1" applyFill="1"/>
    <xf numFmtId="0" fontId="3" fillId="2" borderId="0" xfId="0" applyFont="1" applyFill="1" applyAlignment="1"/>
    <xf numFmtId="0" fontId="29" fillId="2" borderId="0" xfId="0" applyFont="1" applyFill="1" applyAlignment="1">
      <alignment horizontal="center" vertical="center"/>
    </xf>
    <xf numFmtId="0" fontId="30" fillId="2" borderId="0" xfId="0" applyFont="1" applyFill="1" applyAlignment="1">
      <alignment horizontal="center" vertical="center"/>
    </xf>
    <xf numFmtId="0" fontId="29" fillId="2" borderId="0" xfId="0" applyFont="1" applyFill="1" applyAlignment="1">
      <alignment horizontal="center"/>
    </xf>
    <xf numFmtId="0" fontId="1" fillId="0" borderId="0" xfId="0" applyFont="1" applyAlignment="1" applyProtection="1">
      <alignment vertical="top"/>
      <protection hidden="1"/>
    </xf>
    <xf numFmtId="0" fontId="4" fillId="0" borderId="0" xfId="0" applyFont="1" applyAlignment="1" applyProtection="1">
      <alignment horizontal="center" vertical="top"/>
      <protection hidden="1"/>
    </xf>
    <xf numFmtId="0" fontId="0" fillId="0" borderId="0" xfId="0" applyAlignment="1">
      <alignment vertical="top"/>
    </xf>
    <xf numFmtId="0" fontId="42" fillId="0" borderId="1" xfId="2" applyFont="1" applyBorder="1"/>
  </cellXfs>
  <cellStyles count="6">
    <cellStyle name="Lien hypertexte" xfId="2" builtinId="8"/>
    <cellStyle name="Milliers 2" xfId="4" xr:uid="{1C0DE762-0A9F-4348-AB8A-724D56AA230F}"/>
    <cellStyle name="Normal" xfId="0" builtinId="0"/>
    <cellStyle name="Normal 2" xfId="3" xr:uid="{B3F018B3-ECD2-4435-9B8D-D2E36DCFB4B4}"/>
    <cellStyle name="Pourcentage" xfId="1" builtinId="5"/>
    <cellStyle name="Pourcentage 2" xfId="5" xr:uid="{B9E03C71-869C-4DEE-8764-E82243A8F570}"/>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pt idx="12">
                  <c:v>44105</c:v>
                </c:pt>
                <c:pt idx="13">
                  <c:v>44136</c:v>
                </c:pt>
                <c:pt idx="14">
                  <c:v>44166</c:v>
                </c:pt>
                <c:pt idx="15">
                  <c:v>44197</c:v>
                </c:pt>
                <c:pt idx="16">
                  <c:v>44228</c:v>
                </c:pt>
                <c:pt idx="17">
                  <c:v>44256</c:v>
                </c:pt>
                <c:pt idx="18">
                  <c:v>44287</c:v>
                </c:pt>
                <c:pt idx="19">
                  <c:v>44317</c:v>
                </c:pt>
                <c:pt idx="20">
                  <c:v>44348</c:v>
                </c:pt>
                <c:pt idx="21">
                  <c:v>44378</c:v>
                </c:pt>
                <c:pt idx="22">
                  <c:v>44409</c:v>
                </c:pt>
                <c:pt idx="23">
                  <c:v>44440</c:v>
                </c:pt>
                <c:pt idx="24">
                  <c:v>44470</c:v>
                </c:pt>
                <c:pt idx="25">
                  <c:v>44501</c:v>
                </c:pt>
                <c:pt idx="26">
                  <c:v>44531</c:v>
                </c:pt>
                <c:pt idx="27">
                  <c:v>44562</c:v>
                </c:pt>
                <c:pt idx="28">
                  <c:v>44593</c:v>
                </c:pt>
                <c:pt idx="29">
                  <c:v>44621</c:v>
                </c:pt>
                <c:pt idx="30">
                  <c:v>44652</c:v>
                </c:pt>
                <c:pt idx="31">
                  <c:v>44682</c:v>
                </c:pt>
                <c:pt idx="32">
                  <c:v>44713</c:v>
                </c:pt>
                <c:pt idx="33">
                  <c:v>44743</c:v>
                </c:pt>
                <c:pt idx="34">
                  <c:v>44774</c:v>
                </c:pt>
                <c:pt idx="35">
                  <c:v>44805</c:v>
                </c:pt>
              </c:numCache>
            </c:numRef>
          </c:cat>
          <c:val>
            <c:numRef>
              <c:f>'DONNEES CUMULS DEPUIS JANVIER'!$B$16:$B$51</c:f>
              <c:numCache>
                <c:formatCode>General</c:formatCode>
                <c:ptCount val="36"/>
                <c:pt idx="0">
                  <c:v>111.2</c:v>
                </c:pt>
                <c:pt idx="1">
                  <c:v>110.5</c:v>
                </c:pt>
                <c:pt idx="2">
                  <c:v>110.4</c:v>
                </c:pt>
                <c:pt idx="3">
                  <c:v>111.4</c:v>
                </c:pt>
                <c:pt idx="4">
                  <c:v>111.7</c:v>
                </c:pt>
                <c:pt idx="5">
                  <c:v>110.8</c:v>
                </c:pt>
                <c:pt idx="6">
                  <c:v>108.9</c:v>
                </c:pt>
                <c:pt idx="7">
                  <c:v>108.7</c:v>
                </c:pt>
                <c:pt idx="8">
                  <c:v>108.8</c:v>
                </c:pt>
                <c:pt idx="9">
                  <c:v>109.9</c:v>
                </c:pt>
                <c:pt idx="10">
                  <c:v>110</c:v>
                </c:pt>
                <c:pt idx="11">
                  <c:v>110.1</c:v>
                </c:pt>
                <c:pt idx="12">
                  <c:v>109.5</c:v>
                </c:pt>
                <c:pt idx="13">
                  <c:v>109.5</c:v>
                </c:pt>
                <c:pt idx="14">
                  <c:v>109.8</c:v>
                </c:pt>
                <c:pt idx="15">
                  <c:v>111.2</c:v>
                </c:pt>
                <c:pt idx="16">
                  <c:v>112.1</c:v>
                </c:pt>
                <c:pt idx="17">
                  <c:v>113.5</c:v>
                </c:pt>
                <c:pt idx="18">
                  <c:v>113.8</c:v>
                </c:pt>
                <c:pt idx="19">
                  <c:v>114</c:v>
                </c:pt>
                <c:pt idx="20">
                  <c:v>114.8</c:v>
                </c:pt>
                <c:pt idx="21">
                  <c:v>115.9</c:v>
                </c:pt>
                <c:pt idx="22">
                  <c:v>116.1</c:v>
                </c:pt>
                <c:pt idx="23">
                  <c:v>116.4</c:v>
                </c:pt>
                <c:pt idx="24">
                  <c:v>117.5</c:v>
                </c:pt>
                <c:pt idx="25">
                  <c:v>118.2</c:v>
                </c:pt>
                <c:pt idx="26">
                  <c:v>118.8</c:v>
                </c:pt>
                <c:pt idx="27">
                  <c:v>119.9</c:v>
                </c:pt>
                <c:pt idx="28">
                  <c:v>121.3</c:v>
                </c:pt>
                <c:pt idx="29">
                  <c:v>124.7</c:v>
                </c:pt>
                <c:pt idx="30">
                  <c:v>126.6</c:v>
                </c:pt>
                <c:pt idx="31">
                  <c:v>127.3</c:v>
                </c:pt>
                <c:pt idx="32">
                  <c:v>129.1</c:v>
                </c:pt>
                <c:pt idx="33">
                  <c:v>129.1</c:v>
                </c:pt>
                <c:pt idx="34">
                  <c:v>128.9</c:v>
                </c:pt>
                <c:pt idx="35">
                  <c:v>128.4</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cat>
            <c:numRef>
              <c:f>'DONNEES CUMULS DEPUIS JANVIER'!$A$16:$A$51</c:f>
              <c:numCache>
                <c:formatCode>mmm\-yyyy</c:formatCode>
                <c:ptCount val="36"/>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pt idx="12">
                  <c:v>44105</c:v>
                </c:pt>
                <c:pt idx="13">
                  <c:v>44136</c:v>
                </c:pt>
                <c:pt idx="14">
                  <c:v>44166</c:v>
                </c:pt>
                <c:pt idx="15">
                  <c:v>44197</c:v>
                </c:pt>
                <c:pt idx="16">
                  <c:v>44228</c:v>
                </c:pt>
                <c:pt idx="17">
                  <c:v>44256</c:v>
                </c:pt>
                <c:pt idx="18">
                  <c:v>44287</c:v>
                </c:pt>
                <c:pt idx="19">
                  <c:v>44317</c:v>
                </c:pt>
                <c:pt idx="20">
                  <c:v>44348</c:v>
                </c:pt>
                <c:pt idx="21">
                  <c:v>44378</c:v>
                </c:pt>
                <c:pt idx="22">
                  <c:v>44409</c:v>
                </c:pt>
                <c:pt idx="23">
                  <c:v>44440</c:v>
                </c:pt>
                <c:pt idx="24">
                  <c:v>44470</c:v>
                </c:pt>
                <c:pt idx="25">
                  <c:v>44501</c:v>
                </c:pt>
                <c:pt idx="26">
                  <c:v>44531</c:v>
                </c:pt>
                <c:pt idx="27">
                  <c:v>44562</c:v>
                </c:pt>
                <c:pt idx="28">
                  <c:v>44593</c:v>
                </c:pt>
                <c:pt idx="29">
                  <c:v>44621</c:v>
                </c:pt>
                <c:pt idx="30">
                  <c:v>44652</c:v>
                </c:pt>
                <c:pt idx="31">
                  <c:v>44682</c:v>
                </c:pt>
                <c:pt idx="32">
                  <c:v>44713</c:v>
                </c:pt>
                <c:pt idx="33">
                  <c:v>44743</c:v>
                </c:pt>
                <c:pt idx="34">
                  <c:v>44774</c:v>
                </c:pt>
                <c:pt idx="35">
                  <c:v>44805</c:v>
                </c:pt>
              </c:numCache>
            </c:numRef>
          </c:cat>
          <c:val>
            <c:numRef>
              <c:f>'DONNEES CUMULS DEPUIS JANVIER'!$C$16:$C$51</c:f>
              <c:numCache>
                <c:formatCode>General</c:formatCode>
                <c:ptCount val="36"/>
                <c:pt idx="0">
                  <c:v>114.2</c:v>
                </c:pt>
                <c:pt idx="1">
                  <c:v>114.2</c:v>
                </c:pt>
                <c:pt idx="2">
                  <c:v>114.3</c:v>
                </c:pt>
                <c:pt idx="3">
                  <c:v>114.7</c:v>
                </c:pt>
                <c:pt idx="4">
                  <c:v>114.8</c:v>
                </c:pt>
                <c:pt idx="5">
                  <c:v>114.7</c:v>
                </c:pt>
                <c:pt idx="6">
                  <c:v>114.4</c:v>
                </c:pt>
                <c:pt idx="7">
                  <c:v>114.2</c:v>
                </c:pt>
                <c:pt idx="8">
                  <c:v>113.7</c:v>
                </c:pt>
                <c:pt idx="9">
                  <c:v>113.7</c:v>
                </c:pt>
                <c:pt idx="10">
                  <c:v>113.8</c:v>
                </c:pt>
                <c:pt idx="11">
                  <c:v>114.4</c:v>
                </c:pt>
                <c:pt idx="12">
                  <c:v>114.4</c:v>
                </c:pt>
                <c:pt idx="13">
                  <c:v>114.5</c:v>
                </c:pt>
                <c:pt idx="14">
                  <c:v>114.9</c:v>
                </c:pt>
                <c:pt idx="15">
                  <c:v>116.3</c:v>
                </c:pt>
                <c:pt idx="16">
                  <c:v>117.2</c:v>
                </c:pt>
                <c:pt idx="17">
                  <c:v>118.3</c:v>
                </c:pt>
                <c:pt idx="18">
                  <c:v>118.9</c:v>
                </c:pt>
                <c:pt idx="19">
                  <c:v>119</c:v>
                </c:pt>
                <c:pt idx="20">
                  <c:v>120.8</c:v>
                </c:pt>
                <c:pt idx="21">
                  <c:v>122.7</c:v>
                </c:pt>
                <c:pt idx="22">
                  <c:v>123.1</c:v>
                </c:pt>
                <c:pt idx="23">
                  <c:v>123.7</c:v>
                </c:pt>
                <c:pt idx="24">
                  <c:v>123.6</c:v>
                </c:pt>
                <c:pt idx="25">
                  <c:v>124</c:v>
                </c:pt>
                <c:pt idx="26">
                  <c:v>124.4</c:v>
                </c:pt>
                <c:pt idx="27">
                  <c:v>125.3</c:v>
                </c:pt>
                <c:pt idx="28">
                  <c:v>125.7</c:v>
                </c:pt>
                <c:pt idx="29">
                  <c:v>127.2</c:v>
                </c:pt>
                <c:pt idx="30">
                  <c:v>131</c:v>
                </c:pt>
                <c:pt idx="31">
                  <c:v>133.30000000000001</c:v>
                </c:pt>
                <c:pt idx="32">
                  <c:v>132.19999999999999</c:v>
                </c:pt>
                <c:pt idx="33">
                  <c:v>132.19999999999999</c:v>
                </c:pt>
                <c:pt idx="34">
                  <c:v>132.1</c:v>
                </c:pt>
                <c:pt idx="35">
                  <c:v>130.9</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0.15</c:v>
                </c:pt>
                <c:pt idx="1">
                  <c:v>0.55000000000000004</c:v>
                </c:pt>
                <c:pt idx="2">
                  <c:v>0.01</c:v>
                </c:pt>
                <c:pt idx="3">
                  <c:v>0.27</c:v>
                </c:pt>
                <c:pt idx="4">
                  <c:v>0.01</c:v>
                </c:pt>
                <c:pt idx="5">
                  <c:v>0.01</c:v>
                </c:pt>
                <c:pt idx="6">
                  <c:v>0</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numCache>
            </c:numRef>
          </c:cat>
          <c:val>
            <c:numRef>
              <c:f>'DONNEES 3-6 MOIS'!$D$16:$D$27</c:f>
              <c:numCache>
                <c:formatCode>General</c:formatCode>
                <c:ptCount val="12"/>
                <c:pt idx="0">
                  <c:v>109</c:v>
                </c:pt>
                <c:pt idx="1">
                  <c:v>109.1</c:v>
                </c:pt>
                <c:pt idx="2">
                  <c:v>109.4</c:v>
                </c:pt>
                <c:pt idx="3">
                  <c:v>110.8</c:v>
                </c:pt>
                <c:pt idx="4">
                  <c:v>111.3</c:v>
                </c:pt>
                <c:pt idx="5">
                  <c:v>111.1</c:v>
                </c:pt>
                <c:pt idx="6">
                  <c:v>113.4</c:v>
                </c:pt>
                <c:pt idx="7">
                  <c:v>113.2</c:v>
                </c:pt>
                <c:pt idx="8">
                  <c:v>113.3</c:v>
                </c:pt>
                <c:pt idx="9">
                  <c:v>116.6</c:v>
                </c:pt>
                <c:pt idx="10">
                  <c:v>116.6</c:v>
                </c:pt>
                <c:pt idx="11">
                  <c:v>117.1</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numCache>
            </c:numRef>
          </c:cat>
          <c:val>
            <c:numRef>
              <c:f>'DONNEES 3-6 MOIS'!$E$16:$E$27</c:f>
              <c:numCache>
                <c:formatCode>General</c:formatCode>
                <c:ptCount val="12"/>
                <c:pt idx="0">
                  <c:v>122.6</c:v>
                </c:pt>
                <c:pt idx="1">
                  <c:v>122.5</c:v>
                </c:pt>
                <c:pt idx="2">
                  <c:v>122.4</c:v>
                </c:pt>
                <c:pt idx="3">
                  <c:v>122.6</c:v>
                </c:pt>
                <c:pt idx="4">
                  <c:v>122.8</c:v>
                </c:pt>
                <c:pt idx="5">
                  <c:v>123</c:v>
                </c:pt>
                <c:pt idx="6">
                  <c:v>123.2</c:v>
                </c:pt>
                <c:pt idx="7">
                  <c:v>123.5</c:v>
                </c:pt>
                <c:pt idx="8">
                  <c:v>123.7</c:v>
                </c:pt>
                <c:pt idx="9">
                  <c:v>123.7</c:v>
                </c:pt>
                <c:pt idx="10">
                  <c:v>123.7</c:v>
                </c:pt>
                <c:pt idx="11">
                  <c:v>123.7</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c:v>
                </c:pt>
              </c:strCache>
            </c:strRef>
          </c:tx>
          <c:spPr>
            <a:ln w="28575" cap="rnd">
              <a:solidFill>
                <a:schemeClr val="accent2"/>
              </a:solidFill>
              <a:round/>
            </a:ln>
            <a:effectLst/>
          </c:spPr>
          <c:marker>
            <c:symbol val="none"/>
          </c:marker>
          <c:cat>
            <c:numRef>
              <c:f>'DONNEES 3-6 MOIS'!$A$16:$A$27</c:f>
              <c:numCache>
                <c:formatCode>mmm\-yyyy</c:formatCode>
                <c:ptCount val="12"/>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numCache>
            </c:numRef>
          </c:cat>
          <c:val>
            <c:numRef>
              <c:f>'DONNEES 3-6 MOIS'!$F$16:$F$27</c:f>
              <c:numCache>
                <c:formatCode>General</c:formatCode>
                <c:ptCount val="12"/>
                <c:pt idx="0">
                  <c:v>145.0804149457305</c:v>
                </c:pt>
                <c:pt idx="1">
                  <c:v>146.98121217942563</c:v>
                </c:pt>
                <c:pt idx="2">
                  <c:v>143.4</c:v>
                </c:pt>
                <c:pt idx="3">
                  <c:v>156.1</c:v>
                </c:pt>
                <c:pt idx="4">
                  <c:v>167.4</c:v>
                </c:pt>
                <c:pt idx="5">
                  <c:v>224.4</c:v>
                </c:pt>
                <c:pt idx="6">
                  <c:v>188.1</c:v>
                </c:pt>
                <c:pt idx="7">
                  <c:v>188.8</c:v>
                </c:pt>
                <c:pt idx="8">
                  <c:v>220</c:v>
                </c:pt>
                <c:pt idx="9">
                  <c:v>198.7</c:v>
                </c:pt>
                <c:pt idx="10">
                  <c:v>189.1</c:v>
                </c:pt>
                <c:pt idx="11">
                  <c:v>175</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8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7.3701842546063656E-2"/>
          <c:w val="0.90507737518897891"/>
          <c:h val="0.71787757686068132"/>
        </c:manualLayout>
      </c:layout>
      <c:barChart>
        <c:barDir val="col"/>
        <c:grouping val="clustered"/>
        <c:varyColors val="0"/>
        <c:ser>
          <c:idx val="0"/>
          <c:order val="0"/>
          <c:tx>
            <c:strRef>
              <c:f>'RESULTATS 3-6 MOIS GLISSANTS'!$B$21:$B$26</c:f>
              <c:strCache>
                <c:ptCount val="6"/>
                <c:pt idx="0">
                  <c:v>+3,1%</c:v>
                </c:pt>
                <c:pt idx="1">
                  <c:v>+0,2%</c:v>
                </c:pt>
                <c:pt idx="2">
                  <c:v>-5,7%</c:v>
                </c:pt>
                <c:pt idx="3">
                  <c:v>-4,1%</c:v>
                </c:pt>
                <c:pt idx="4">
                  <c:v>+3,4%</c:v>
                </c:pt>
                <c:pt idx="5">
                  <c:v>+1,7%</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c:v>
                </c:pt>
                <c:pt idx="3">
                  <c:v>Gazole</c:v>
                </c:pt>
                <c:pt idx="4">
                  <c:v>Frais divers</c:v>
                </c:pt>
                <c:pt idx="5">
                  <c:v>Transport</c:v>
                </c:pt>
              </c:strCache>
            </c:strRef>
          </c:cat>
          <c:val>
            <c:numRef>
              <c:f>'RESULTATS 3-6 MOIS GLISSANTS'!$B$21:$B$26</c:f>
              <c:numCache>
                <c:formatCode>\+0.0%;\-0.0%</c:formatCode>
                <c:ptCount val="6"/>
                <c:pt idx="0">
                  <c:v>3.0597234480729485E-2</c:v>
                </c:pt>
                <c:pt idx="1">
                  <c:v>1.8898488120950852E-3</c:v>
                </c:pt>
                <c:pt idx="2">
                  <c:v>-5.712849723571789E-2</c:v>
                </c:pt>
                <c:pt idx="3">
                  <c:v>-4.0537550043253434E-2</c:v>
                </c:pt>
                <c:pt idx="4">
                  <c:v>3.372478169226123E-2</c:v>
                </c:pt>
                <c:pt idx="5">
                  <c:v>1.7376194613379692E-2</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numCache>
            </c:numRef>
          </c:cat>
          <c:val>
            <c:numRef>
              <c:f>'DONNEES 3-6 MOIS'!$H$16:$H$27</c:f>
              <c:numCache>
                <c:formatCode>General</c:formatCode>
                <c:ptCount val="12"/>
                <c:pt idx="0">
                  <c:v>193</c:v>
                </c:pt>
                <c:pt idx="1">
                  <c:v>193.5</c:v>
                </c:pt>
                <c:pt idx="2">
                  <c:v>192.6</c:v>
                </c:pt>
                <c:pt idx="3">
                  <c:v>193.7</c:v>
                </c:pt>
                <c:pt idx="4">
                  <c:v>196.9</c:v>
                </c:pt>
                <c:pt idx="5">
                  <c:v>213.4</c:v>
                </c:pt>
                <c:pt idx="6">
                  <c:v>249.2</c:v>
                </c:pt>
                <c:pt idx="7">
                  <c:v>270.7</c:v>
                </c:pt>
                <c:pt idx="8">
                  <c:v>256.3</c:v>
                </c:pt>
                <c:pt idx="9">
                  <c:v>246.9</c:v>
                </c:pt>
                <c:pt idx="10">
                  <c:v>241.2</c:v>
                </c:pt>
                <c:pt idx="11">
                  <c:v>229.2</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numCache>
            </c:numRef>
          </c:cat>
          <c:val>
            <c:numRef>
              <c:f>'DONNEES 3-6 MOIS'!$G$16:$G$51</c:f>
              <c:numCache>
                <c:formatCode>General</c:formatCode>
                <c:ptCount val="36"/>
                <c:pt idx="0">
                  <c:v>106.4</c:v>
                </c:pt>
                <c:pt idx="1">
                  <c:v>107</c:v>
                </c:pt>
                <c:pt idx="2">
                  <c:v>106.9</c:v>
                </c:pt>
                <c:pt idx="3">
                  <c:v>109.8</c:v>
                </c:pt>
                <c:pt idx="4">
                  <c:v>109.6</c:v>
                </c:pt>
                <c:pt idx="5">
                  <c:v>109.3</c:v>
                </c:pt>
                <c:pt idx="6">
                  <c:v>111.3</c:v>
                </c:pt>
                <c:pt idx="7">
                  <c:v>112.6</c:v>
                </c:pt>
                <c:pt idx="8">
                  <c:v>112</c:v>
                </c:pt>
                <c:pt idx="9">
                  <c:v>113.3</c:v>
                </c:pt>
                <c:pt idx="10">
                  <c:v>116.6</c:v>
                </c:pt>
                <c:pt idx="11">
                  <c:v>114.6</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strRef>
              <c:f>'DONNEES DATE A DATE'!$A$16:$A$102</c:f>
              <c:strCache>
                <c:ptCount val="57"/>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strCache>
            </c:strRef>
          </c:cat>
          <c:val>
            <c:numRef>
              <c:f>'DONNEES DATE A DATE'!$B$16:$B$102</c:f>
              <c:numCache>
                <c:formatCode>0.0</c:formatCode>
                <c:ptCount val="87"/>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118.2</c:v>
                </c:pt>
                <c:pt idx="47">
                  <c:v>118.8</c:v>
                </c:pt>
                <c:pt idx="48">
                  <c:v>119.9</c:v>
                </c:pt>
                <c:pt idx="49">
                  <c:v>121.3</c:v>
                </c:pt>
                <c:pt idx="50">
                  <c:v>124.7</c:v>
                </c:pt>
                <c:pt idx="51">
                  <c:v>126.6</c:v>
                </c:pt>
                <c:pt idx="52">
                  <c:v>127.3</c:v>
                </c:pt>
                <c:pt idx="53">
                  <c:v>129.1</c:v>
                </c:pt>
                <c:pt idx="54">
                  <c:v>129.1</c:v>
                </c:pt>
                <c:pt idx="55">
                  <c:v>128.9</c:v>
                </c:pt>
                <c:pt idx="56">
                  <c:v>128.4</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cat>
            <c:strRef>
              <c:f>'DONNEES DATE A DATE'!$A$16:$A$102</c:f>
              <c:strCache>
                <c:ptCount val="57"/>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strCache>
            </c:strRef>
          </c:cat>
          <c:val>
            <c:numRef>
              <c:f>'DONNEES DATE A DATE'!$C$16:$C$102</c:f>
              <c:numCache>
                <c:formatCode>0.0</c:formatCode>
                <c:ptCount val="87"/>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2"/>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0.15</c:v>
                </c:pt>
                <c:pt idx="1">
                  <c:v>0.55000000000000004</c:v>
                </c:pt>
                <c:pt idx="2">
                  <c:v>0.01</c:v>
                </c:pt>
                <c:pt idx="3">
                  <c:v>0.27</c:v>
                </c:pt>
                <c:pt idx="4">
                  <c:v>0.01</c:v>
                </c:pt>
                <c:pt idx="5">
                  <c:v>0.01</c:v>
                </c:pt>
                <c:pt idx="6">
                  <c:v>0</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strRef>
              <c:f>'DONNEES DATE A DATE'!$A$16:$A$102</c:f>
              <c:strCache>
                <c:ptCount val="57"/>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strCache>
            </c:strRef>
          </c:cat>
          <c:val>
            <c:numRef>
              <c:f>'DONNEES DATE A DATE'!$D$16:$D$102</c:f>
              <c:numCache>
                <c:formatCode>0.0</c:formatCode>
                <c:ptCount val="87"/>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max val="44805"/>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min val="100"/>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0.15</c:v>
                </c:pt>
                <c:pt idx="1">
                  <c:v>0.55000000000000004</c:v>
                </c:pt>
                <c:pt idx="2">
                  <c:v>0.01</c:v>
                </c:pt>
                <c:pt idx="3">
                  <c:v>0.27</c:v>
                </c:pt>
                <c:pt idx="4">
                  <c:v>0.01</c:v>
                </c:pt>
                <c:pt idx="5">
                  <c:v>0.01</c:v>
                </c:pt>
                <c:pt idx="6">
                  <c:v>0</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strRef>
              <c:f>'DONNEES DATE A DATE'!$A$16:$A$102</c:f>
              <c:strCache>
                <c:ptCount val="57"/>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strCache>
            </c:strRef>
          </c:cat>
          <c:val>
            <c:numRef>
              <c:f>'DONNEES DATE A DATE'!$E$16:$E$102</c:f>
              <c:numCache>
                <c:formatCode>0.0</c:formatCode>
                <c:ptCount val="87"/>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123.7</c:v>
                </c:pt>
                <c:pt idx="55">
                  <c:v>123.7</c:v>
                </c:pt>
                <c:pt idx="56">
                  <c:v>123.7</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DATE A DATE'!$F$14</c:f>
              <c:strCache>
                <c:ptCount val="1"/>
                <c:pt idx="0">
                  <c:v>GNR</c:v>
                </c:pt>
              </c:strCache>
            </c:strRef>
          </c:tx>
          <c:spPr>
            <a:ln w="28575" cap="rnd">
              <a:solidFill>
                <a:schemeClr val="accent2"/>
              </a:solidFill>
              <a:round/>
            </a:ln>
            <a:effectLst/>
          </c:spPr>
          <c:marker>
            <c:symbol val="none"/>
          </c:marker>
          <c:cat>
            <c:strRef>
              <c:f>'DONNEES DATE A DATE'!$A$16:$A$102</c:f>
              <c:strCache>
                <c:ptCount val="57"/>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strCache>
            </c:strRef>
          </c:cat>
          <c:val>
            <c:numRef>
              <c:f>'DONNEES DATE A DATE'!$F$16:$F$103</c:f>
              <c:numCache>
                <c:formatCode>0.0</c:formatCode>
                <c:ptCount val="88"/>
                <c:pt idx="0">
                  <c:v>130.80422550941537</c:v>
                </c:pt>
                <c:pt idx="1">
                  <c:v>134.18127091843644</c:v>
                </c:pt>
                <c:pt idx="2">
                  <c:v>132.80974174380165</c:v>
                </c:pt>
                <c:pt idx="3">
                  <c:v>126.96957394725013</c:v>
                </c:pt>
                <c:pt idx="4">
                  <c:v>123.0612760909417</c:v>
                </c:pt>
                <c:pt idx="5">
                  <c:v>124.33703094674891</c:v>
                </c:pt>
                <c:pt idx="6">
                  <c:v>124.33703094674891</c:v>
                </c:pt>
                <c:pt idx="7">
                  <c:v>123.35335190444869</c:v>
                </c:pt>
                <c:pt idx="8">
                  <c:v>121.14890194811436</c:v>
                </c:pt>
                <c:pt idx="9">
                  <c:v>117.4086120536319</c:v>
                </c:pt>
                <c:pt idx="10">
                  <c:v>123.941682676648</c:v>
                </c:pt>
                <c:pt idx="11">
                  <c:v>132.02255445150143</c:v>
                </c:pt>
                <c:pt idx="12">
                  <c:v>131.91086024299761</c:v>
                </c:pt>
                <c:pt idx="13">
                  <c:v>127.28051984263119</c:v>
                </c:pt>
                <c:pt idx="14">
                  <c:v>126.24990834592971</c:v>
                </c:pt>
                <c:pt idx="15">
                  <c:v>123.94168267664801</c:v>
                </c:pt>
                <c:pt idx="16">
                  <c:v>123.4</c:v>
                </c:pt>
                <c:pt idx="17">
                  <c:v>130.04056447641634</c:v>
                </c:pt>
                <c:pt idx="18">
                  <c:v>128.32809613763226</c:v>
                </c:pt>
                <c:pt idx="19">
                  <c:v>130.04056447641634</c:v>
                </c:pt>
                <c:pt idx="20">
                  <c:v>126.45469327430915</c:v>
                </c:pt>
                <c:pt idx="21">
                  <c:v>127.38450719544376</c:v>
                </c:pt>
                <c:pt idx="22">
                  <c:v>127.28051984263115</c:v>
                </c:pt>
                <c:pt idx="23">
                  <c:v>125.63951394619112</c:v>
                </c:pt>
                <c:pt idx="24">
                  <c:v>128.96496013831526</c:v>
                </c:pt>
                <c:pt idx="25">
                  <c:v>120.56288540966285</c:v>
                </c:pt>
                <c:pt idx="26">
                  <c:v>103.85515320334262</c:v>
                </c:pt>
                <c:pt idx="27">
                  <c:v>92.243761406204982</c:v>
                </c:pt>
                <c:pt idx="28">
                  <c:v>92.932456056094523</c:v>
                </c:pt>
                <c:pt idx="29">
                  <c:v>98.758812794160036</c:v>
                </c:pt>
                <c:pt idx="30">
                  <c:v>100.37035827490156</c:v>
                </c:pt>
                <c:pt idx="31">
                  <c:v>99.06183844011143</c:v>
                </c:pt>
                <c:pt idx="32">
                  <c:v>94.034367495917806</c:v>
                </c:pt>
                <c:pt idx="33">
                  <c:v>95.632139083661556</c:v>
                </c:pt>
                <c:pt idx="34">
                  <c:v>98.634847757179941</c:v>
                </c:pt>
                <c:pt idx="35">
                  <c:v>103.4970319854001</c:v>
                </c:pt>
                <c:pt idx="36">
                  <c:v>110.08095283834412</c:v>
                </c:pt>
                <c:pt idx="37">
                  <c:v>117.68414177312464</c:v>
                </c:pt>
                <c:pt idx="38">
                  <c:v>120.96232830659883</c:v>
                </c:pt>
                <c:pt idx="39">
                  <c:v>117.44998559216218</c:v>
                </c:pt>
                <c:pt idx="40">
                  <c:v>121.36177120353477</c:v>
                </c:pt>
                <c:pt idx="41">
                  <c:v>124.19919316107966</c:v>
                </c:pt>
                <c:pt idx="42">
                  <c:v>126.7198155796754</c:v>
                </c:pt>
                <c:pt idx="43">
                  <c:v>125.14959177792723</c:v>
                </c:pt>
                <c:pt idx="44">
                  <c:v>129.77761982518496</c:v>
                </c:pt>
                <c:pt idx="45">
                  <c:v>145.0804149457305</c:v>
                </c:pt>
                <c:pt idx="46">
                  <c:v>146.98121217942563</c:v>
                </c:pt>
                <c:pt idx="47">
                  <c:v>143.4</c:v>
                </c:pt>
                <c:pt idx="48">
                  <c:v>156.1</c:v>
                </c:pt>
                <c:pt idx="49">
                  <c:v>167.4</c:v>
                </c:pt>
                <c:pt idx="50">
                  <c:v>224.4</c:v>
                </c:pt>
                <c:pt idx="51">
                  <c:v>188.1</c:v>
                </c:pt>
                <c:pt idx="52">
                  <c:v>188.8</c:v>
                </c:pt>
                <c:pt idx="53">
                  <c:v>220</c:v>
                </c:pt>
                <c:pt idx="54">
                  <c:v>198.7</c:v>
                </c:pt>
                <c:pt idx="55">
                  <c:v>189.1</c:v>
                </c:pt>
                <c:pt idx="56">
                  <c:v>175</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min val="80"/>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'RESULTATS DATE A DATE'!$B$20</c:f>
              <c:strCache>
                <c:ptCount val="1"/>
                <c:pt idx="0">
                  <c:v>Evolution entre janv. 2018 et sept. 2022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c:v>
                </c:pt>
                <c:pt idx="3">
                  <c:v>Gazole</c:v>
                </c:pt>
                <c:pt idx="4">
                  <c:v>Frais divers</c:v>
                </c:pt>
                <c:pt idx="5">
                  <c:v>Transport</c:v>
                </c:pt>
              </c:strCache>
            </c:strRef>
          </c:cat>
          <c:val>
            <c:numRef>
              <c:f>'RESULTATS DATE A DATE'!$B$21:$B$26</c:f>
              <c:numCache>
                <c:formatCode>\+0.0%;\-0.0%</c:formatCode>
                <c:ptCount val="6"/>
                <c:pt idx="0">
                  <c:v>0.12487992315081642</c:v>
                </c:pt>
                <c:pt idx="1">
                  <c:v>5.0084889643463582E-2</c:v>
                </c:pt>
                <c:pt idx="2">
                  <c:v>0.33787726901378567</c:v>
                </c:pt>
                <c:pt idx="3">
                  <c:v>0.23361372532689284</c:v>
                </c:pt>
                <c:pt idx="4">
                  <c:v>0.11133004926108381</c:v>
                </c:pt>
                <c:pt idx="5">
                  <c:v>9.0356211989574442E-2</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strRef>
              <c:f>'DONNEES DATE A DATE'!$A$16:$A$103</c:f>
              <c:strCache>
                <c:ptCount val="57"/>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strCache>
            </c:strRef>
          </c:cat>
          <c:val>
            <c:numRef>
              <c:f>'DONNEES DATE A DATE'!$H$16:$H$103</c:f>
              <c:numCache>
                <c:formatCode>0.0</c:formatCode>
                <c:ptCount val="88"/>
                <c:pt idx="0">
                  <c:v>127.8</c:v>
                </c:pt>
                <c:pt idx="1">
                  <c:v>128.5</c:v>
                </c:pt>
                <c:pt idx="2">
                  <c:v>130.30000000000001</c:v>
                </c:pt>
                <c:pt idx="3">
                  <c:v>131.1</c:v>
                </c:pt>
                <c:pt idx="4">
                  <c:v>130.19999999999999</c:v>
                </c:pt>
                <c:pt idx="5">
                  <c:v>128</c:v>
                </c:pt>
                <c:pt idx="6">
                  <c:v>126.1</c:v>
                </c:pt>
                <c:pt idx="7">
                  <c:v>128</c:v>
                </c:pt>
                <c:pt idx="8">
                  <c:v>129.1</c:v>
                </c:pt>
                <c:pt idx="9">
                  <c:v>127.8</c:v>
                </c:pt>
                <c:pt idx="10">
                  <c:v>126.6</c:v>
                </c:pt>
                <c:pt idx="11">
                  <c:v>125.5</c:v>
                </c:pt>
                <c:pt idx="12">
                  <c:v>124.6</c:v>
                </c:pt>
                <c:pt idx="13">
                  <c:v>123.8</c:v>
                </c:pt>
                <c:pt idx="14">
                  <c:v>123.9</c:v>
                </c:pt>
                <c:pt idx="15">
                  <c:v>123.8</c:v>
                </c:pt>
                <c:pt idx="16">
                  <c:v>123</c:v>
                </c:pt>
                <c:pt idx="17">
                  <c:v>122</c:v>
                </c:pt>
                <c:pt idx="18">
                  <c:v>120.5</c:v>
                </c:pt>
                <c:pt idx="19">
                  <c:v>119.8</c:v>
                </c:pt>
                <c:pt idx="20">
                  <c:v>118.3</c:v>
                </c:pt>
                <c:pt idx="21">
                  <c:v>114.1</c:v>
                </c:pt>
                <c:pt idx="22">
                  <c:v>111.3</c:v>
                </c:pt>
                <c:pt idx="23">
                  <c:v>111.2</c:v>
                </c:pt>
                <c:pt idx="24">
                  <c:v>112.6</c:v>
                </c:pt>
                <c:pt idx="25">
                  <c:v>113.5</c:v>
                </c:pt>
                <c:pt idx="26">
                  <c:v>112.3</c:v>
                </c:pt>
                <c:pt idx="27">
                  <c:v>112.1</c:v>
                </c:pt>
                <c:pt idx="28">
                  <c:v>111.3</c:v>
                </c:pt>
                <c:pt idx="29">
                  <c:v>109.7</c:v>
                </c:pt>
                <c:pt idx="30">
                  <c:v>108</c:v>
                </c:pt>
                <c:pt idx="31">
                  <c:v>107.4</c:v>
                </c:pt>
                <c:pt idx="32">
                  <c:v>108.5</c:v>
                </c:pt>
                <c:pt idx="33">
                  <c:v>110.7</c:v>
                </c:pt>
                <c:pt idx="34">
                  <c:v>112.6</c:v>
                </c:pt>
                <c:pt idx="35">
                  <c:v>116.1</c:v>
                </c:pt>
                <c:pt idx="36">
                  <c:v>130.80000000000001</c:v>
                </c:pt>
                <c:pt idx="37">
                  <c:v>139.19999999999999</c:v>
                </c:pt>
                <c:pt idx="38">
                  <c:v>144.6</c:v>
                </c:pt>
                <c:pt idx="39">
                  <c:v>149.4</c:v>
                </c:pt>
                <c:pt idx="40">
                  <c:v>153.5</c:v>
                </c:pt>
                <c:pt idx="41">
                  <c:v>167.7</c:v>
                </c:pt>
                <c:pt idx="42">
                  <c:v>185.7</c:v>
                </c:pt>
                <c:pt idx="43">
                  <c:v>191.7</c:v>
                </c:pt>
                <c:pt idx="44">
                  <c:v>196.7</c:v>
                </c:pt>
                <c:pt idx="45">
                  <c:v>193</c:v>
                </c:pt>
                <c:pt idx="46">
                  <c:v>193.5</c:v>
                </c:pt>
                <c:pt idx="47">
                  <c:v>192.6</c:v>
                </c:pt>
                <c:pt idx="48">
                  <c:v>193.7</c:v>
                </c:pt>
                <c:pt idx="49">
                  <c:v>196.9</c:v>
                </c:pt>
                <c:pt idx="50">
                  <c:v>213.4</c:v>
                </c:pt>
                <c:pt idx="51">
                  <c:v>249.2</c:v>
                </c:pt>
                <c:pt idx="52">
                  <c:v>270.7</c:v>
                </c:pt>
                <c:pt idx="53">
                  <c:v>256.3</c:v>
                </c:pt>
                <c:pt idx="54">
                  <c:v>246.9</c:v>
                </c:pt>
                <c:pt idx="55">
                  <c:v>241.2</c:v>
                </c:pt>
                <c:pt idx="56">
                  <c:v>229.2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strRef>
              <c:f>'DONNEES DATE A DATE'!$A$16:$A$103</c:f>
              <c:strCache>
                <c:ptCount val="57"/>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strCache>
            </c:strRef>
          </c:cat>
          <c:val>
            <c:numRef>
              <c:f>'DONNEES DATE A DATE'!$G$16:$G$103</c:f>
              <c:numCache>
                <c:formatCode>0.0</c:formatCode>
                <c:ptCount val="88"/>
                <c:pt idx="0">
                  <c:v>99.6</c:v>
                </c:pt>
                <c:pt idx="1">
                  <c:v>99.4</c:v>
                </c:pt>
                <c:pt idx="2">
                  <c:v>100.2</c:v>
                </c:pt>
                <c:pt idx="3">
                  <c:v>101</c:v>
                </c:pt>
                <c:pt idx="4">
                  <c:v>101.8</c:v>
                </c:pt>
                <c:pt idx="5">
                  <c:v>101.7</c:v>
                </c:pt>
                <c:pt idx="6">
                  <c:v>101.9</c:v>
                </c:pt>
                <c:pt idx="7">
                  <c:v>102.7</c:v>
                </c:pt>
                <c:pt idx="8">
                  <c:v>101.8</c:v>
                </c:pt>
                <c:pt idx="9">
                  <c:v>102.2</c:v>
                </c:pt>
                <c:pt idx="10">
                  <c:v>102.4</c:v>
                </c:pt>
                <c:pt idx="11">
                  <c:v>102.2</c:v>
                </c:pt>
                <c:pt idx="12">
                  <c:v>103.8</c:v>
                </c:pt>
                <c:pt idx="13">
                  <c:v>104.2</c:v>
                </c:pt>
                <c:pt idx="14">
                  <c:v>104.3</c:v>
                </c:pt>
                <c:pt idx="15">
                  <c:v>104.1</c:v>
                </c:pt>
                <c:pt idx="16">
                  <c:v>104.9</c:v>
                </c:pt>
                <c:pt idx="17">
                  <c:v>105.3</c:v>
                </c:pt>
                <c:pt idx="18">
                  <c:v>105.4</c:v>
                </c:pt>
                <c:pt idx="19">
                  <c:v>106.7</c:v>
                </c:pt>
                <c:pt idx="20">
                  <c:v>105.2</c:v>
                </c:pt>
                <c:pt idx="21">
                  <c:v>104.7</c:v>
                </c:pt>
                <c:pt idx="22">
                  <c:v>104.5</c:v>
                </c:pt>
                <c:pt idx="23">
                  <c:v>104.8</c:v>
                </c:pt>
                <c:pt idx="24">
                  <c:v>105.2</c:v>
                </c:pt>
                <c:pt idx="25">
                  <c:v>103.7</c:v>
                </c:pt>
                <c:pt idx="26">
                  <c:v>103.5</c:v>
                </c:pt>
                <c:pt idx="27">
                  <c:v>102.7</c:v>
                </c:pt>
                <c:pt idx="28">
                  <c:v>104.4</c:v>
                </c:pt>
                <c:pt idx="29">
                  <c:v>105.4</c:v>
                </c:pt>
                <c:pt idx="30">
                  <c:v>105.6</c:v>
                </c:pt>
                <c:pt idx="31">
                  <c:v>105.4</c:v>
                </c:pt>
                <c:pt idx="32">
                  <c:v>106.5</c:v>
                </c:pt>
                <c:pt idx="33">
                  <c:v>105.9</c:v>
                </c:pt>
                <c:pt idx="34">
                  <c:v>105.4</c:v>
                </c:pt>
                <c:pt idx="35">
                  <c:v>104.7</c:v>
                </c:pt>
                <c:pt idx="36">
                  <c:v>105.8</c:v>
                </c:pt>
                <c:pt idx="37">
                  <c:v>105.9</c:v>
                </c:pt>
                <c:pt idx="38">
                  <c:v>106.2</c:v>
                </c:pt>
                <c:pt idx="39">
                  <c:v>106.4</c:v>
                </c:pt>
                <c:pt idx="40">
                  <c:v>106</c:v>
                </c:pt>
                <c:pt idx="41">
                  <c:v>105.6</c:v>
                </c:pt>
                <c:pt idx="42">
                  <c:v>106.7</c:v>
                </c:pt>
                <c:pt idx="43">
                  <c:v>108.3</c:v>
                </c:pt>
                <c:pt idx="44">
                  <c:v>105.5</c:v>
                </c:pt>
                <c:pt idx="45">
                  <c:v>106.4</c:v>
                </c:pt>
                <c:pt idx="46">
                  <c:v>107</c:v>
                </c:pt>
                <c:pt idx="47">
                  <c:v>106.9</c:v>
                </c:pt>
                <c:pt idx="48">
                  <c:v>109.8</c:v>
                </c:pt>
                <c:pt idx="49">
                  <c:v>109.6</c:v>
                </c:pt>
                <c:pt idx="50">
                  <c:v>109.3</c:v>
                </c:pt>
                <c:pt idx="51">
                  <c:v>111.3</c:v>
                </c:pt>
                <c:pt idx="52">
                  <c:v>112.6</c:v>
                </c:pt>
                <c:pt idx="53">
                  <c:v>112</c:v>
                </c:pt>
                <c:pt idx="54">
                  <c:v>113.3</c:v>
                </c:pt>
                <c:pt idx="55">
                  <c:v>116.6</c:v>
                </c:pt>
                <c:pt idx="56">
                  <c:v>114.6</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pt idx="12">
                  <c:v>44105</c:v>
                </c:pt>
                <c:pt idx="13">
                  <c:v>44136</c:v>
                </c:pt>
                <c:pt idx="14">
                  <c:v>44166</c:v>
                </c:pt>
                <c:pt idx="15">
                  <c:v>44197</c:v>
                </c:pt>
                <c:pt idx="16">
                  <c:v>44228</c:v>
                </c:pt>
                <c:pt idx="17">
                  <c:v>44256</c:v>
                </c:pt>
                <c:pt idx="18">
                  <c:v>44287</c:v>
                </c:pt>
                <c:pt idx="19">
                  <c:v>44317</c:v>
                </c:pt>
                <c:pt idx="20">
                  <c:v>44348</c:v>
                </c:pt>
                <c:pt idx="21">
                  <c:v>44378</c:v>
                </c:pt>
                <c:pt idx="22">
                  <c:v>44409</c:v>
                </c:pt>
                <c:pt idx="23">
                  <c:v>44440</c:v>
                </c:pt>
                <c:pt idx="24">
                  <c:v>44470</c:v>
                </c:pt>
                <c:pt idx="25">
                  <c:v>44501</c:v>
                </c:pt>
                <c:pt idx="26">
                  <c:v>44531</c:v>
                </c:pt>
                <c:pt idx="27">
                  <c:v>44562</c:v>
                </c:pt>
                <c:pt idx="28">
                  <c:v>44593</c:v>
                </c:pt>
                <c:pt idx="29">
                  <c:v>44621</c:v>
                </c:pt>
                <c:pt idx="30">
                  <c:v>44652</c:v>
                </c:pt>
                <c:pt idx="31">
                  <c:v>44682</c:v>
                </c:pt>
                <c:pt idx="32">
                  <c:v>44713</c:v>
                </c:pt>
                <c:pt idx="33">
                  <c:v>44743</c:v>
                </c:pt>
                <c:pt idx="34">
                  <c:v>44774</c:v>
                </c:pt>
                <c:pt idx="35">
                  <c:v>44805</c:v>
                </c:pt>
              </c:numCache>
            </c:numRef>
          </c:cat>
          <c:val>
            <c:numRef>
              <c:f>'DONNEES CUMULS DEPUIS JANVIER'!$D$16:$D$51</c:f>
              <c:numCache>
                <c:formatCode>General</c:formatCode>
                <c:ptCount val="36"/>
                <c:pt idx="0">
                  <c:v>105.6</c:v>
                </c:pt>
                <c:pt idx="1">
                  <c:v>105.1</c:v>
                </c:pt>
                <c:pt idx="2">
                  <c:v>104.6</c:v>
                </c:pt>
                <c:pt idx="3">
                  <c:v>104.7</c:v>
                </c:pt>
                <c:pt idx="4">
                  <c:v>105.5</c:v>
                </c:pt>
                <c:pt idx="5">
                  <c:v>105.3</c:v>
                </c:pt>
                <c:pt idx="6">
                  <c:v>105.5</c:v>
                </c:pt>
                <c:pt idx="7">
                  <c:v>104.9</c:v>
                </c:pt>
                <c:pt idx="8">
                  <c:v>103</c:v>
                </c:pt>
                <c:pt idx="9">
                  <c:v>102.6</c:v>
                </c:pt>
                <c:pt idx="10">
                  <c:v>102.8</c:v>
                </c:pt>
                <c:pt idx="11">
                  <c:v>104.4</c:v>
                </c:pt>
                <c:pt idx="12">
                  <c:v>104.1</c:v>
                </c:pt>
                <c:pt idx="13">
                  <c:v>104.4</c:v>
                </c:pt>
                <c:pt idx="14">
                  <c:v>104.4</c:v>
                </c:pt>
                <c:pt idx="15">
                  <c:v>104.5</c:v>
                </c:pt>
                <c:pt idx="16">
                  <c:v>104.5</c:v>
                </c:pt>
                <c:pt idx="17">
                  <c:v>107.6</c:v>
                </c:pt>
                <c:pt idx="18">
                  <c:v>107.8</c:v>
                </c:pt>
                <c:pt idx="19">
                  <c:v>107.2</c:v>
                </c:pt>
                <c:pt idx="20">
                  <c:v>107.8</c:v>
                </c:pt>
                <c:pt idx="21">
                  <c:v>108.3</c:v>
                </c:pt>
                <c:pt idx="22">
                  <c:v>108.2</c:v>
                </c:pt>
                <c:pt idx="23">
                  <c:v>108.6</c:v>
                </c:pt>
                <c:pt idx="24">
                  <c:v>109</c:v>
                </c:pt>
                <c:pt idx="25">
                  <c:v>109.1</c:v>
                </c:pt>
                <c:pt idx="26">
                  <c:v>109.4</c:v>
                </c:pt>
                <c:pt idx="27">
                  <c:v>110.8</c:v>
                </c:pt>
                <c:pt idx="28">
                  <c:v>111.3</c:v>
                </c:pt>
                <c:pt idx="29">
                  <c:v>111.1</c:v>
                </c:pt>
                <c:pt idx="30">
                  <c:v>113.4</c:v>
                </c:pt>
                <c:pt idx="31">
                  <c:v>113.2</c:v>
                </c:pt>
                <c:pt idx="32">
                  <c:v>113.3</c:v>
                </c:pt>
                <c:pt idx="33">
                  <c:v>116.6</c:v>
                </c:pt>
                <c:pt idx="34">
                  <c:v>116.6</c:v>
                </c:pt>
                <c:pt idx="35">
                  <c:v>117.1</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max val="44896"/>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pt idx="12">
                  <c:v>44105</c:v>
                </c:pt>
                <c:pt idx="13">
                  <c:v>44136</c:v>
                </c:pt>
                <c:pt idx="14">
                  <c:v>44166</c:v>
                </c:pt>
                <c:pt idx="15">
                  <c:v>44197</c:v>
                </c:pt>
                <c:pt idx="16">
                  <c:v>44228</c:v>
                </c:pt>
                <c:pt idx="17">
                  <c:v>44256</c:v>
                </c:pt>
                <c:pt idx="18">
                  <c:v>44287</c:v>
                </c:pt>
                <c:pt idx="19">
                  <c:v>44317</c:v>
                </c:pt>
                <c:pt idx="20">
                  <c:v>44348</c:v>
                </c:pt>
                <c:pt idx="21">
                  <c:v>44378</c:v>
                </c:pt>
                <c:pt idx="22">
                  <c:v>44409</c:v>
                </c:pt>
                <c:pt idx="23">
                  <c:v>44440</c:v>
                </c:pt>
                <c:pt idx="24">
                  <c:v>44470</c:v>
                </c:pt>
                <c:pt idx="25">
                  <c:v>44501</c:v>
                </c:pt>
                <c:pt idx="26">
                  <c:v>44531</c:v>
                </c:pt>
                <c:pt idx="27">
                  <c:v>44562</c:v>
                </c:pt>
                <c:pt idx="28">
                  <c:v>44593</c:v>
                </c:pt>
                <c:pt idx="29">
                  <c:v>44621</c:v>
                </c:pt>
                <c:pt idx="30">
                  <c:v>44652</c:v>
                </c:pt>
                <c:pt idx="31">
                  <c:v>44682</c:v>
                </c:pt>
                <c:pt idx="32">
                  <c:v>44713</c:v>
                </c:pt>
                <c:pt idx="33">
                  <c:v>44743</c:v>
                </c:pt>
                <c:pt idx="34">
                  <c:v>44774</c:v>
                </c:pt>
                <c:pt idx="35">
                  <c:v>44805</c:v>
                </c:pt>
              </c:numCache>
            </c:numRef>
          </c:cat>
          <c:val>
            <c:numRef>
              <c:f>'DONNEES CUMULS DEPUIS JANVIER'!$E$16:$E$51</c:f>
              <c:numCache>
                <c:formatCode>General</c:formatCode>
                <c:ptCount val="36"/>
                <c:pt idx="0">
                  <c:v>123.5</c:v>
                </c:pt>
                <c:pt idx="1">
                  <c:v>123.7</c:v>
                </c:pt>
                <c:pt idx="2">
                  <c:v>123.9</c:v>
                </c:pt>
                <c:pt idx="3">
                  <c:v>123.7</c:v>
                </c:pt>
                <c:pt idx="4">
                  <c:v>123.5</c:v>
                </c:pt>
                <c:pt idx="5">
                  <c:v>123.3</c:v>
                </c:pt>
                <c:pt idx="6">
                  <c:v>123.6</c:v>
                </c:pt>
                <c:pt idx="7">
                  <c:v>123.8</c:v>
                </c:pt>
                <c:pt idx="8">
                  <c:v>124</c:v>
                </c:pt>
                <c:pt idx="9">
                  <c:v>123.8</c:v>
                </c:pt>
                <c:pt idx="10">
                  <c:v>123.7</c:v>
                </c:pt>
                <c:pt idx="11">
                  <c:v>123.6</c:v>
                </c:pt>
                <c:pt idx="12">
                  <c:v>123.5</c:v>
                </c:pt>
                <c:pt idx="13">
                  <c:v>123.5</c:v>
                </c:pt>
                <c:pt idx="14">
                  <c:v>123.4</c:v>
                </c:pt>
                <c:pt idx="15">
                  <c:v>123.4</c:v>
                </c:pt>
                <c:pt idx="16">
                  <c:v>123.3</c:v>
                </c:pt>
                <c:pt idx="17">
                  <c:v>123.3</c:v>
                </c:pt>
                <c:pt idx="18">
                  <c:v>123</c:v>
                </c:pt>
                <c:pt idx="19">
                  <c:v>122.7</c:v>
                </c:pt>
                <c:pt idx="20">
                  <c:v>122.5</c:v>
                </c:pt>
                <c:pt idx="21">
                  <c:v>122.5</c:v>
                </c:pt>
                <c:pt idx="22">
                  <c:v>122.6</c:v>
                </c:pt>
                <c:pt idx="23">
                  <c:v>122.7</c:v>
                </c:pt>
                <c:pt idx="24">
                  <c:v>122.6</c:v>
                </c:pt>
                <c:pt idx="25">
                  <c:v>122.5</c:v>
                </c:pt>
                <c:pt idx="26">
                  <c:v>122.4</c:v>
                </c:pt>
                <c:pt idx="27">
                  <c:v>122.6</c:v>
                </c:pt>
                <c:pt idx="28">
                  <c:v>122.8</c:v>
                </c:pt>
                <c:pt idx="29">
                  <c:v>123</c:v>
                </c:pt>
                <c:pt idx="30">
                  <c:v>123.2</c:v>
                </c:pt>
                <c:pt idx="31">
                  <c:v>123.5</c:v>
                </c:pt>
                <c:pt idx="32">
                  <c:v>123.7</c:v>
                </c:pt>
                <c:pt idx="33">
                  <c:v>123.7</c:v>
                </c:pt>
                <c:pt idx="34">
                  <c:v>123.7</c:v>
                </c:pt>
                <c:pt idx="35">
                  <c:v>123.7</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c:v>
                </c:pt>
              </c:strCache>
            </c:strRef>
          </c:tx>
          <c:spPr>
            <a:ln w="28575" cap="rnd">
              <a:solidFill>
                <a:schemeClr val="accent2"/>
              </a:solidFill>
              <a:round/>
            </a:ln>
            <a:effectLst/>
          </c:spPr>
          <c:marker>
            <c:symbol val="none"/>
          </c:marker>
          <c:cat>
            <c:numRef>
              <c:f>'DONNEES CUMULS DEPUIS JANVIER'!$A$16:$A$51</c:f>
              <c:numCache>
                <c:formatCode>mmm\-yyyy</c:formatCode>
                <c:ptCount val="36"/>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pt idx="12">
                  <c:v>44105</c:v>
                </c:pt>
                <c:pt idx="13">
                  <c:v>44136</c:v>
                </c:pt>
                <c:pt idx="14">
                  <c:v>44166</c:v>
                </c:pt>
                <c:pt idx="15">
                  <c:v>44197</c:v>
                </c:pt>
                <c:pt idx="16">
                  <c:v>44228</c:v>
                </c:pt>
                <c:pt idx="17">
                  <c:v>44256</c:v>
                </c:pt>
                <c:pt idx="18">
                  <c:v>44287</c:v>
                </c:pt>
                <c:pt idx="19">
                  <c:v>44317</c:v>
                </c:pt>
                <c:pt idx="20">
                  <c:v>44348</c:v>
                </c:pt>
                <c:pt idx="21">
                  <c:v>44378</c:v>
                </c:pt>
                <c:pt idx="22">
                  <c:v>44409</c:v>
                </c:pt>
                <c:pt idx="23">
                  <c:v>44440</c:v>
                </c:pt>
                <c:pt idx="24">
                  <c:v>44470</c:v>
                </c:pt>
                <c:pt idx="25">
                  <c:v>44501</c:v>
                </c:pt>
                <c:pt idx="26">
                  <c:v>44531</c:v>
                </c:pt>
                <c:pt idx="27">
                  <c:v>44562</c:v>
                </c:pt>
                <c:pt idx="28">
                  <c:v>44593</c:v>
                </c:pt>
                <c:pt idx="29">
                  <c:v>44621</c:v>
                </c:pt>
                <c:pt idx="30">
                  <c:v>44652</c:v>
                </c:pt>
                <c:pt idx="31">
                  <c:v>44682</c:v>
                </c:pt>
                <c:pt idx="32">
                  <c:v>44713</c:v>
                </c:pt>
                <c:pt idx="33">
                  <c:v>44743</c:v>
                </c:pt>
                <c:pt idx="34">
                  <c:v>44774</c:v>
                </c:pt>
                <c:pt idx="35">
                  <c:v>44805</c:v>
                </c:pt>
              </c:numCache>
            </c:numRef>
          </c:cat>
          <c:val>
            <c:numRef>
              <c:f>'DONNEES CUMULS DEPUIS JANVIER'!$F$16:$F$51</c:f>
              <c:numCache>
                <c:formatCode>General</c:formatCode>
                <c:ptCount val="36"/>
                <c:pt idx="0">
                  <c:v>127.38450719544376</c:v>
                </c:pt>
                <c:pt idx="1">
                  <c:v>127.28051984263115</c:v>
                </c:pt>
                <c:pt idx="2">
                  <c:v>125.63951394619112</c:v>
                </c:pt>
                <c:pt idx="3">
                  <c:v>128.96496013831526</c:v>
                </c:pt>
                <c:pt idx="4">
                  <c:v>120.56288540966285</c:v>
                </c:pt>
                <c:pt idx="5">
                  <c:v>103.85515320334262</c:v>
                </c:pt>
                <c:pt idx="6">
                  <c:v>92.243761406204982</c:v>
                </c:pt>
                <c:pt idx="7">
                  <c:v>92.932456056094523</c:v>
                </c:pt>
                <c:pt idx="8">
                  <c:v>98.758812794160036</c:v>
                </c:pt>
                <c:pt idx="9">
                  <c:v>100.37035827490156</c:v>
                </c:pt>
                <c:pt idx="10">
                  <c:v>99.06183844011143</c:v>
                </c:pt>
                <c:pt idx="11">
                  <c:v>94.034367495917806</c:v>
                </c:pt>
                <c:pt idx="12">
                  <c:v>95.632139083661556</c:v>
                </c:pt>
                <c:pt idx="13">
                  <c:v>98.634847757179941</c:v>
                </c:pt>
                <c:pt idx="14">
                  <c:v>103.4970319854001</c:v>
                </c:pt>
                <c:pt idx="15">
                  <c:v>110.08095283834412</c:v>
                </c:pt>
                <c:pt idx="16">
                  <c:v>117.68414177312464</c:v>
                </c:pt>
                <c:pt idx="17">
                  <c:v>120.96232830659883</c:v>
                </c:pt>
                <c:pt idx="18">
                  <c:v>117.44998559216218</c:v>
                </c:pt>
                <c:pt idx="19">
                  <c:v>121.36177120353477</c:v>
                </c:pt>
                <c:pt idx="20">
                  <c:v>124.19919316107966</c:v>
                </c:pt>
                <c:pt idx="21">
                  <c:v>126.7198155796754</c:v>
                </c:pt>
                <c:pt idx="22">
                  <c:v>125.14959177792723</c:v>
                </c:pt>
                <c:pt idx="23">
                  <c:v>129.77761982518496</c:v>
                </c:pt>
                <c:pt idx="24">
                  <c:v>145.0804149457305</c:v>
                </c:pt>
                <c:pt idx="25">
                  <c:v>146.98121217942563</c:v>
                </c:pt>
                <c:pt idx="26">
                  <c:v>143.4</c:v>
                </c:pt>
                <c:pt idx="27">
                  <c:v>156.1</c:v>
                </c:pt>
                <c:pt idx="28">
                  <c:v>167.4</c:v>
                </c:pt>
                <c:pt idx="29">
                  <c:v>224.4</c:v>
                </c:pt>
                <c:pt idx="30">
                  <c:v>188.1</c:v>
                </c:pt>
                <c:pt idx="31">
                  <c:v>188.8</c:v>
                </c:pt>
                <c:pt idx="32">
                  <c:v>220</c:v>
                </c:pt>
                <c:pt idx="33">
                  <c:v>198.7</c:v>
                </c:pt>
                <c:pt idx="34">
                  <c:v>189.1</c:v>
                </c:pt>
                <c:pt idx="35">
                  <c:v>175</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8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7.3701842546063656E-2"/>
          <c:w val="0.90507737518897891"/>
          <c:h val="0.71787757686068132"/>
        </c:manualLayout>
      </c:layout>
      <c:barChart>
        <c:barDir val="col"/>
        <c:grouping val="clustered"/>
        <c:varyColors val="0"/>
        <c:ser>
          <c:idx val="0"/>
          <c:order val="0"/>
          <c:tx>
            <c:strRef>
              <c:f>'RESULTATS DEPUIS JANVIER'!$C$21:$C$26</c:f>
              <c:strCache>
                <c:ptCount val="6"/>
                <c:pt idx="0">
                  <c:v>+6,1%</c:v>
                </c:pt>
                <c:pt idx="1">
                  <c:v>+0,4%</c:v>
                </c:pt>
                <c:pt idx="2">
                  <c:v>+56,2%</c:v>
                </c:pt>
                <c:pt idx="3">
                  <c:v>+32,9%</c:v>
                </c:pt>
                <c:pt idx="4">
                  <c:v>+5,7%</c:v>
                </c:pt>
                <c:pt idx="5">
                  <c:v>+4,3%</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c:v>
                </c:pt>
                <c:pt idx="3">
                  <c:v>Gazole</c:v>
                </c:pt>
                <c:pt idx="4">
                  <c:v>Frais divers</c:v>
                </c:pt>
                <c:pt idx="5">
                  <c:v>Transport</c:v>
                </c:pt>
              </c:strCache>
            </c:strRef>
          </c:cat>
          <c:val>
            <c:numRef>
              <c:f>'RESULTATS DEPUIS JANVIER'!$C$21:$C$26</c:f>
              <c:numCache>
                <c:formatCode>\+0.0%;\-0.0%</c:formatCode>
                <c:ptCount val="6"/>
                <c:pt idx="0">
                  <c:v>6.106791083462948E-2</c:v>
                </c:pt>
                <c:pt idx="1">
                  <c:v>3.5262206148283237E-3</c:v>
                </c:pt>
                <c:pt idx="2">
                  <c:v>0.56175489439496218</c:v>
                </c:pt>
                <c:pt idx="3">
                  <c:v>0.32894112833483691</c:v>
                </c:pt>
                <c:pt idx="4">
                  <c:v>5.7224758466928316E-2</c:v>
                </c:pt>
                <c:pt idx="5">
                  <c:v>4.2897612302711607E-2</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pt idx="12">
                  <c:v>44105</c:v>
                </c:pt>
                <c:pt idx="13">
                  <c:v>44136</c:v>
                </c:pt>
                <c:pt idx="14">
                  <c:v>44166</c:v>
                </c:pt>
                <c:pt idx="15">
                  <c:v>44197</c:v>
                </c:pt>
                <c:pt idx="16">
                  <c:v>44228</c:v>
                </c:pt>
                <c:pt idx="17">
                  <c:v>44256</c:v>
                </c:pt>
                <c:pt idx="18">
                  <c:v>44287</c:v>
                </c:pt>
                <c:pt idx="19">
                  <c:v>44317</c:v>
                </c:pt>
                <c:pt idx="20">
                  <c:v>44348</c:v>
                </c:pt>
                <c:pt idx="21">
                  <c:v>44378</c:v>
                </c:pt>
                <c:pt idx="22">
                  <c:v>44409</c:v>
                </c:pt>
                <c:pt idx="23">
                  <c:v>44440</c:v>
                </c:pt>
                <c:pt idx="24">
                  <c:v>44470</c:v>
                </c:pt>
                <c:pt idx="25">
                  <c:v>44501</c:v>
                </c:pt>
                <c:pt idx="26">
                  <c:v>44531</c:v>
                </c:pt>
                <c:pt idx="27">
                  <c:v>44562</c:v>
                </c:pt>
                <c:pt idx="28">
                  <c:v>44593</c:v>
                </c:pt>
                <c:pt idx="29">
                  <c:v>44621</c:v>
                </c:pt>
                <c:pt idx="30">
                  <c:v>44652</c:v>
                </c:pt>
                <c:pt idx="31">
                  <c:v>44682</c:v>
                </c:pt>
                <c:pt idx="32">
                  <c:v>44713</c:v>
                </c:pt>
                <c:pt idx="33">
                  <c:v>44743</c:v>
                </c:pt>
                <c:pt idx="34">
                  <c:v>44774</c:v>
                </c:pt>
                <c:pt idx="35">
                  <c:v>44805</c:v>
                </c:pt>
              </c:numCache>
            </c:numRef>
          </c:cat>
          <c:val>
            <c:numRef>
              <c:f>'DONNEES CUMULS DEPUIS JANVIER'!$H$16:$H$51</c:f>
              <c:numCache>
                <c:formatCode>General</c:formatCode>
                <c:ptCount val="36"/>
                <c:pt idx="0">
                  <c:v>114.1</c:v>
                </c:pt>
                <c:pt idx="1">
                  <c:v>111.3</c:v>
                </c:pt>
                <c:pt idx="2">
                  <c:v>111.2</c:v>
                </c:pt>
                <c:pt idx="3">
                  <c:v>112.6</c:v>
                </c:pt>
                <c:pt idx="4">
                  <c:v>113.5</c:v>
                </c:pt>
                <c:pt idx="5">
                  <c:v>112.3</c:v>
                </c:pt>
                <c:pt idx="6">
                  <c:v>112.1</c:v>
                </c:pt>
                <c:pt idx="7">
                  <c:v>111.3</c:v>
                </c:pt>
                <c:pt idx="8">
                  <c:v>109.7</c:v>
                </c:pt>
                <c:pt idx="9">
                  <c:v>108</c:v>
                </c:pt>
                <c:pt idx="10">
                  <c:v>107.4</c:v>
                </c:pt>
                <c:pt idx="11">
                  <c:v>108.5</c:v>
                </c:pt>
                <c:pt idx="12">
                  <c:v>110.7</c:v>
                </c:pt>
                <c:pt idx="13">
                  <c:v>112.6</c:v>
                </c:pt>
                <c:pt idx="14">
                  <c:v>116.1</c:v>
                </c:pt>
                <c:pt idx="15">
                  <c:v>130.80000000000001</c:v>
                </c:pt>
                <c:pt idx="16">
                  <c:v>139.19999999999999</c:v>
                </c:pt>
                <c:pt idx="17">
                  <c:v>144.6</c:v>
                </c:pt>
                <c:pt idx="18">
                  <c:v>149.4</c:v>
                </c:pt>
                <c:pt idx="19">
                  <c:v>153.5</c:v>
                </c:pt>
                <c:pt idx="20">
                  <c:v>167.7</c:v>
                </c:pt>
                <c:pt idx="21">
                  <c:v>185.7</c:v>
                </c:pt>
                <c:pt idx="22">
                  <c:v>191.7</c:v>
                </c:pt>
                <c:pt idx="23">
                  <c:v>196.7</c:v>
                </c:pt>
                <c:pt idx="24">
                  <c:v>193</c:v>
                </c:pt>
                <c:pt idx="25">
                  <c:v>193.5</c:v>
                </c:pt>
                <c:pt idx="26">
                  <c:v>192.6</c:v>
                </c:pt>
                <c:pt idx="27">
                  <c:v>193.7</c:v>
                </c:pt>
                <c:pt idx="28">
                  <c:v>196.9</c:v>
                </c:pt>
                <c:pt idx="29">
                  <c:v>213.4</c:v>
                </c:pt>
                <c:pt idx="30">
                  <c:v>249.2</c:v>
                </c:pt>
                <c:pt idx="31">
                  <c:v>270.7</c:v>
                </c:pt>
                <c:pt idx="32">
                  <c:v>256.3</c:v>
                </c:pt>
                <c:pt idx="33">
                  <c:v>246.9</c:v>
                </c:pt>
                <c:pt idx="34">
                  <c:v>241.2</c:v>
                </c:pt>
                <c:pt idx="35">
                  <c:v>229.2</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pt idx="12">
                  <c:v>44105</c:v>
                </c:pt>
                <c:pt idx="13">
                  <c:v>44136</c:v>
                </c:pt>
                <c:pt idx="14">
                  <c:v>44166</c:v>
                </c:pt>
                <c:pt idx="15">
                  <c:v>44197</c:v>
                </c:pt>
                <c:pt idx="16">
                  <c:v>44228</c:v>
                </c:pt>
                <c:pt idx="17">
                  <c:v>44256</c:v>
                </c:pt>
                <c:pt idx="18">
                  <c:v>44287</c:v>
                </c:pt>
                <c:pt idx="19">
                  <c:v>44317</c:v>
                </c:pt>
                <c:pt idx="20">
                  <c:v>44348</c:v>
                </c:pt>
                <c:pt idx="21">
                  <c:v>44378</c:v>
                </c:pt>
                <c:pt idx="22">
                  <c:v>44409</c:v>
                </c:pt>
                <c:pt idx="23">
                  <c:v>44440</c:v>
                </c:pt>
                <c:pt idx="24">
                  <c:v>44470</c:v>
                </c:pt>
                <c:pt idx="25">
                  <c:v>44501</c:v>
                </c:pt>
                <c:pt idx="26">
                  <c:v>44531</c:v>
                </c:pt>
                <c:pt idx="27">
                  <c:v>44562</c:v>
                </c:pt>
                <c:pt idx="28">
                  <c:v>44593</c:v>
                </c:pt>
                <c:pt idx="29">
                  <c:v>44621</c:v>
                </c:pt>
                <c:pt idx="30">
                  <c:v>44652</c:v>
                </c:pt>
                <c:pt idx="31">
                  <c:v>44682</c:v>
                </c:pt>
                <c:pt idx="32">
                  <c:v>44713</c:v>
                </c:pt>
                <c:pt idx="33">
                  <c:v>44743</c:v>
                </c:pt>
                <c:pt idx="34">
                  <c:v>44774</c:v>
                </c:pt>
                <c:pt idx="35">
                  <c:v>44805</c:v>
                </c:pt>
              </c:numCache>
            </c:numRef>
          </c:cat>
          <c:val>
            <c:numRef>
              <c:f>'DONNEES CUMULS DEPUIS JANVIER'!$G$16:$G$51</c:f>
              <c:numCache>
                <c:formatCode>General</c:formatCode>
                <c:ptCount val="36"/>
                <c:pt idx="0">
                  <c:v>104.7</c:v>
                </c:pt>
                <c:pt idx="1">
                  <c:v>104.5</c:v>
                </c:pt>
                <c:pt idx="2">
                  <c:v>104.8</c:v>
                </c:pt>
                <c:pt idx="3">
                  <c:v>105.2</c:v>
                </c:pt>
                <c:pt idx="4">
                  <c:v>103.7</c:v>
                </c:pt>
                <c:pt idx="5">
                  <c:v>103.5</c:v>
                </c:pt>
                <c:pt idx="6">
                  <c:v>102.7</c:v>
                </c:pt>
                <c:pt idx="7">
                  <c:v>104.4</c:v>
                </c:pt>
                <c:pt idx="8">
                  <c:v>105.4</c:v>
                </c:pt>
                <c:pt idx="9">
                  <c:v>105.6</c:v>
                </c:pt>
                <c:pt idx="10">
                  <c:v>105.4</c:v>
                </c:pt>
                <c:pt idx="11">
                  <c:v>106.5</c:v>
                </c:pt>
                <c:pt idx="12">
                  <c:v>105.9</c:v>
                </c:pt>
                <c:pt idx="13">
                  <c:v>105.4</c:v>
                </c:pt>
                <c:pt idx="14">
                  <c:v>104.7</c:v>
                </c:pt>
                <c:pt idx="15">
                  <c:v>105.8</c:v>
                </c:pt>
                <c:pt idx="16">
                  <c:v>105.9</c:v>
                </c:pt>
                <c:pt idx="17">
                  <c:v>106.2</c:v>
                </c:pt>
                <c:pt idx="18">
                  <c:v>106.4</c:v>
                </c:pt>
                <c:pt idx="19">
                  <c:v>106</c:v>
                </c:pt>
                <c:pt idx="20">
                  <c:v>105.6</c:v>
                </c:pt>
                <c:pt idx="21">
                  <c:v>106.7</c:v>
                </c:pt>
                <c:pt idx="22">
                  <c:v>108.3</c:v>
                </c:pt>
                <c:pt idx="23">
                  <c:v>105.5</c:v>
                </c:pt>
                <c:pt idx="24">
                  <c:v>106.4</c:v>
                </c:pt>
                <c:pt idx="25">
                  <c:v>107</c:v>
                </c:pt>
                <c:pt idx="26">
                  <c:v>106.9</c:v>
                </c:pt>
                <c:pt idx="27">
                  <c:v>109.8</c:v>
                </c:pt>
                <c:pt idx="28">
                  <c:v>109.6</c:v>
                </c:pt>
                <c:pt idx="29">
                  <c:v>109.3</c:v>
                </c:pt>
                <c:pt idx="30">
                  <c:v>111.3</c:v>
                </c:pt>
                <c:pt idx="31">
                  <c:v>112.6</c:v>
                </c:pt>
                <c:pt idx="32">
                  <c:v>112</c:v>
                </c:pt>
                <c:pt idx="33">
                  <c:v>113.3</c:v>
                </c:pt>
                <c:pt idx="34">
                  <c:v>116.6</c:v>
                </c:pt>
                <c:pt idx="35">
                  <c:v>114.6</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numCache>
            </c:numRef>
          </c:cat>
          <c:val>
            <c:numRef>
              <c:f>'DONNEES 3-6 MOIS'!$B$16:$B$51</c:f>
              <c:numCache>
                <c:formatCode>General</c:formatCode>
                <c:ptCount val="36"/>
                <c:pt idx="0">
                  <c:v>117.5</c:v>
                </c:pt>
                <c:pt idx="1">
                  <c:v>118.2</c:v>
                </c:pt>
                <c:pt idx="2">
                  <c:v>118.8</c:v>
                </c:pt>
                <c:pt idx="3">
                  <c:v>119.9</c:v>
                </c:pt>
                <c:pt idx="4">
                  <c:v>121.3</c:v>
                </c:pt>
                <c:pt idx="5">
                  <c:v>124.7</c:v>
                </c:pt>
                <c:pt idx="6">
                  <c:v>126.6</c:v>
                </c:pt>
                <c:pt idx="7">
                  <c:v>127.3</c:v>
                </c:pt>
                <c:pt idx="8">
                  <c:v>129.1</c:v>
                </c:pt>
                <c:pt idx="9">
                  <c:v>129.1</c:v>
                </c:pt>
                <c:pt idx="10">
                  <c:v>128.9</c:v>
                </c:pt>
                <c:pt idx="11">
                  <c:v>128.4</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cat>
            <c:numRef>
              <c:f>'DONNEES 3-6 MOIS'!$A$16:$A$27</c:f>
              <c:numCache>
                <c:formatCode>mmm\-yyyy</c:formatCode>
                <c:ptCount val="12"/>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numCache>
            </c:numRef>
          </c:cat>
          <c:val>
            <c:numRef>
              <c:f>'DONNEES 3-6 MOIS'!$C$16:$C$51</c:f>
              <c:numCache>
                <c:formatCode>General</c:formatCode>
                <c:ptCount val="36"/>
                <c:pt idx="0">
                  <c:v>123.6</c:v>
                </c:pt>
                <c:pt idx="1">
                  <c:v>124</c:v>
                </c:pt>
                <c:pt idx="2">
                  <c:v>124.4</c:v>
                </c:pt>
                <c:pt idx="3">
                  <c:v>125.3</c:v>
                </c:pt>
                <c:pt idx="4">
                  <c:v>125.7</c:v>
                </c:pt>
                <c:pt idx="5">
                  <c:v>127.2</c:v>
                </c:pt>
                <c:pt idx="6">
                  <c:v>131</c:v>
                </c:pt>
                <c:pt idx="7">
                  <c:v>133.30000000000001</c:v>
                </c:pt>
                <c:pt idx="8">
                  <c:v>132.19999999999999</c:v>
                </c:pt>
                <c:pt idx="9">
                  <c:v>132.19999999999999</c:v>
                </c:pt>
                <c:pt idx="10">
                  <c:v>132.1</c:v>
                </c:pt>
                <c:pt idx="11">
                  <c:v>130.9</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32</xdr:row>
      <xdr:rowOff>185730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38100</xdr:rowOff>
    </xdr:from>
    <xdr:to>
      <xdr:col>3</xdr:col>
      <xdr:colOff>311918</xdr:colOff>
      <xdr:row>44</xdr:row>
      <xdr:rowOff>38100</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32</xdr:row>
      <xdr:rowOff>185730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3810</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413385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13335</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10,0%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583406</xdr:colOff>
      <xdr:row>19</xdr:row>
      <xdr:rowOff>8587</xdr:rowOff>
    </xdr:from>
    <xdr:to>
      <xdr:col>10</xdr:col>
      <xdr:colOff>107156</xdr:colOff>
      <xdr:row>28</xdr:row>
      <xdr:rowOff>133350</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152400</xdr:colOff>
      <xdr:row>19</xdr:row>
      <xdr:rowOff>8587</xdr:rowOff>
    </xdr:from>
    <xdr:to>
      <xdr:col>12</xdr:col>
      <xdr:colOff>457200</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133350</xdr:rowOff>
    </xdr:from>
    <xdr:to>
      <xdr:col>7</xdr:col>
      <xdr:colOff>676500</xdr:colOff>
      <xdr:row>28</xdr:row>
      <xdr:rowOff>9525</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10010775"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2015</a:t>
          </a:r>
          <a:endParaRPr lang="fr-FR" sz="800" i="1"/>
        </a:p>
      </xdr:txBody>
    </xdr:sp>
    <xdr:clientData/>
  </xdr:oneCellAnchor>
  <xdr:twoCellAnchor>
    <xdr:from>
      <xdr:col>8</xdr:col>
      <xdr:colOff>761999</xdr:colOff>
      <xdr:row>30</xdr:row>
      <xdr:rowOff>95249</xdr:rowOff>
    </xdr:from>
    <xdr:to>
      <xdr:col>11</xdr:col>
      <xdr:colOff>758399</xdr:colOff>
      <xdr:row>40</xdr:row>
      <xdr:rowOff>0</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699135</xdr:colOff>
      <xdr:row>4</xdr:row>
      <xdr:rowOff>10160</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10,0%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133350</xdr:rowOff>
    </xdr:from>
    <xdr:to>
      <xdr:col>7</xdr:col>
      <xdr:colOff>676500</xdr:colOff>
      <xdr:row>28</xdr:row>
      <xdr:rowOff>9525</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9563100"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2015</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29210</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594360</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699135</xdr:colOff>
      <xdr:row>4</xdr:row>
      <xdr:rowOff>124460</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10,0%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651933</xdr:colOff>
      <xdr:row>18</xdr:row>
      <xdr:rowOff>188503</xdr:rowOff>
    </xdr:from>
    <xdr:to>
      <xdr:col>10</xdr:col>
      <xdr:colOff>232832</xdr:colOff>
      <xdr:row>28</xdr:row>
      <xdr:rowOff>123703</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175683</xdr:colOff>
      <xdr:row>18</xdr:row>
      <xdr:rowOff>188504</xdr:rowOff>
    </xdr:from>
    <xdr:to>
      <xdr:col>12</xdr:col>
      <xdr:colOff>529167</xdr:colOff>
      <xdr:row>28</xdr:row>
      <xdr:rowOff>123704</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461434</xdr:colOff>
      <xdr:row>18</xdr:row>
      <xdr:rowOff>188503</xdr:rowOff>
    </xdr:from>
    <xdr:to>
      <xdr:col>15</xdr:col>
      <xdr:colOff>63500</xdr:colOff>
      <xdr:row>28</xdr:row>
      <xdr:rowOff>123703</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1732</xdr:colOff>
      <xdr:row>19</xdr:row>
      <xdr:rowOff>64078</xdr:rowOff>
    </xdr:from>
    <xdr:to>
      <xdr:col>7</xdr:col>
      <xdr:colOff>659182</xdr:colOff>
      <xdr:row>28</xdr:row>
      <xdr:rowOff>130753</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2015</a:t>
          </a:r>
          <a:endParaRPr lang="fr-FR" sz="800" i="1"/>
        </a:p>
      </xdr:txBody>
    </xdr:sp>
    <xdr:clientData/>
  </xdr:oneCellAnchor>
  <xdr:twoCellAnchor>
    <xdr:from>
      <xdr:col>9</xdr:col>
      <xdr:colOff>16933</xdr:colOff>
      <xdr:row>30</xdr:row>
      <xdr:rowOff>93133</xdr:rowOff>
    </xdr:from>
    <xdr:to>
      <xdr:col>12</xdr:col>
      <xdr:colOff>13333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insee.fr/fr/statistiques/serie/010534776"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insee.fr/fr/statistiques/serie/010534776"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5" Type="http://schemas.openxmlformats.org/officeDocument/2006/relationships/hyperlink" Target="https://www.insee.fr/fr/statistiques/serie/010534776" TargetMode="External"/><Relationship Id="rId4" Type="http://schemas.openxmlformats.org/officeDocument/2006/relationships/hyperlink" Target="https://www.insee.fr/fr/statistiques/serie/010534776"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insee.fr/fr/statistiques/serie/010534330" TargetMode="External"/><Relationship Id="rId13" Type="http://schemas.openxmlformats.org/officeDocument/2006/relationships/hyperlink" Target="https://www.insee.fr/fr/statistiques/serie/010534789" TargetMode="External"/><Relationship Id="rId18" Type="http://schemas.openxmlformats.org/officeDocument/2006/relationships/hyperlink" Target="https://www.insee.fr/fr/statistiques/serie/010534575" TargetMode="External"/><Relationship Id="rId26" Type="http://schemas.openxmlformats.org/officeDocument/2006/relationships/hyperlink" Target="https://www.insee.fr/fr/statistiques/serie/010534645" TargetMode="External"/><Relationship Id="rId39" Type="http://schemas.openxmlformats.org/officeDocument/2006/relationships/hyperlink" Target="https://insee.fr/fr/statistiques/serie/010534776" TargetMode="External"/><Relationship Id="rId3" Type="http://schemas.openxmlformats.org/officeDocument/2006/relationships/hyperlink" Target="https://www.insee.fr/fr/statistiques/serie/010534207" TargetMode="External"/><Relationship Id="rId21" Type="http://schemas.openxmlformats.org/officeDocument/2006/relationships/hyperlink" Target="https://www.insee.fr/fr/statistiques/serie/010534252" TargetMode="External"/><Relationship Id="rId34" Type="http://schemas.openxmlformats.org/officeDocument/2006/relationships/hyperlink" Target="https://www.insee.fr/fr/statistiques/serie/001763781" TargetMode="External"/><Relationship Id="rId42" Type="http://schemas.openxmlformats.org/officeDocument/2006/relationships/hyperlink" Target="https://www.insee.fr/fr/statistiques/serie/010760506" TargetMode="External"/><Relationship Id="rId7" Type="http://schemas.openxmlformats.org/officeDocument/2006/relationships/hyperlink" Target="https://www.insee.fr/fr/statistiques/serie/010534662" TargetMode="External"/><Relationship Id="rId12" Type="http://schemas.openxmlformats.org/officeDocument/2006/relationships/hyperlink" Target="https://www.insee.fr/fr/statistiques/serie/001764283" TargetMode="External"/><Relationship Id="rId17" Type="http://schemas.openxmlformats.org/officeDocument/2006/relationships/hyperlink" Target="https://www.insee.fr/fr/statistiques/serie/010534784" TargetMode="External"/><Relationship Id="rId25" Type="http://schemas.openxmlformats.org/officeDocument/2006/relationships/hyperlink" Target="https://www.insee.fr/fr/statistiques/serie/010534654" TargetMode="External"/><Relationship Id="rId33" Type="http://schemas.openxmlformats.org/officeDocument/2006/relationships/hyperlink" Target="https://www.insee.fr/fr/statistiques/serie/010534267" TargetMode="External"/><Relationship Id="rId38" Type="http://schemas.openxmlformats.org/officeDocument/2006/relationships/hyperlink" Target="https://www.insee.fr/fr/statistiques/6474514" TargetMode="External"/><Relationship Id="rId2" Type="http://schemas.openxmlformats.org/officeDocument/2006/relationships/hyperlink" Target="https://www.insee.fr/fr/statistiques/serie/010534646" TargetMode="External"/><Relationship Id="rId16" Type="http://schemas.openxmlformats.org/officeDocument/2006/relationships/hyperlink" Target="https://www.insee.fr/fr/statistiques/serie/010534638" TargetMode="External"/><Relationship Id="rId20" Type="http://schemas.openxmlformats.org/officeDocument/2006/relationships/hyperlink" Target="https://www.insee.fr/fr/statistiques/serie/010534613" TargetMode="External"/><Relationship Id="rId29" Type="http://schemas.openxmlformats.org/officeDocument/2006/relationships/hyperlink" Target="https://www.insee.fr/fr/statistiques/serie/010534698" TargetMode="External"/><Relationship Id="rId41" Type="http://schemas.openxmlformats.org/officeDocument/2006/relationships/hyperlink" Target="https://www.insee.fr/fr/statistiques/serie/010760506" TargetMode="External"/><Relationship Id="rId1" Type="http://schemas.openxmlformats.org/officeDocument/2006/relationships/hyperlink" Target="https://www.insee.fr/fr/statistiques/serie/010536067" TargetMode="External"/><Relationship Id="rId6" Type="http://schemas.openxmlformats.org/officeDocument/2006/relationships/hyperlink" Target="https://www.insee.fr/fr/statistiques/serie/010534642" TargetMode="External"/><Relationship Id="rId11" Type="http://schemas.openxmlformats.org/officeDocument/2006/relationships/hyperlink" Target="https://www.insee.fr/fr/statistiques/serie/010758171" TargetMode="External"/><Relationship Id="rId24" Type="http://schemas.openxmlformats.org/officeDocument/2006/relationships/hyperlink" Target="https://www.insee.fr/fr/statistiques/serie/010534554" TargetMode="External"/><Relationship Id="rId32" Type="http://schemas.openxmlformats.org/officeDocument/2006/relationships/hyperlink" Target="https://www.insee.fr/fr/statistiques/serie/010536480" TargetMode="External"/><Relationship Id="rId37" Type="http://schemas.openxmlformats.org/officeDocument/2006/relationships/hyperlink" Target="https://www.insee.fr/fr/statistiques/serie/001711009" TargetMode="External"/><Relationship Id="rId40" Type="http://schemas.openxmlformats.org/officeDocument/2006/relationships/hyperlink" Target="https://insee.fr/fr/statistiques/serie/010534776" TargetMode="External"/><Relationship Id="rId5" Type="http://schemas.openxmlformats.org/officeDocument/2006/relationships/hyperlink" Target="https://www.insee.fr/fr/statistiques/serie/010534598" TargetMode="External"/><Relationship Id="rId15" Type="http://schemas.openxmlformats.org/officeDocument/2006/relationships/hyperlink" Target="https://www.insee.fr/fr/statistiques/serie/001711943" TargetMode="External"/><Relationship Id="rId23" Type="http://schemas.openxmlformats.org/officeDocument/2006/relationships/hyperlink" Target="https://www.insee.fr/fr/statistiques/serie/010534606" TargetMode="External"/><Relationship Id="rId28" Type="http://schemas.openxmlformats.org/officeDocument/2006/relationships/hyperlink" Target="https://www.insee.fr/fr/statistiques/serie/010535345" TargetMode="External"/><Relationship Id="rId36" Type="http://schemas.openxmlformats.org/officeDocument/2006/relationships/hyperlink" Target="https://www.insee.fr/fr/statistiques/serie/001565195" TargetMode="External"/><Relationship Id="rId10" Type="http://schemas.openxmlformats.org/officeDocument/2006/relationships/hyperlink" Target="https://www.insee.fr/fr/statistiques/serie/001711011" TargetMode="External"/><Relationship Id="rId19" Type="http://schemas.openxmlformats.org/officeDocument/2006/relationships/hyperlink" Target="https://www.insee.fr/fr/statistiques/serie/010534625" TargetMode="External"/><Relationship Id="rId31" Type="http://schemas.openxmlformats.org/officeDocument/2006/relationships/hyperlink" Target="https://www.insee.fr/fr/statistiques/serie/010534180" TargetMode="External"/><Relationship Id="rId4" Type="http://schemas.openxmlformats.org/officeDocument/2006/relationships/hyperlink" Target="https://www.insee.fr/fr/statistiques/serie/010546545" TargetMode="External"/><Relationship Id="rId9" Type="http://schemas.openxmlformats.org/officeDocument/2006/relationships/hyperlink" Target="https://www.insee.fr/fr/statistiques/serie/010534696" TargetMode="External"/><Relationship Id="rId14" Type="http://schemas.openxmlformats.org/officeDocument/2006/relationships/hyperlink" Target="https://www.insee.fr/fr/statistiques/serie/010534769" TargetMode="External"/><Relationship Id="rId22" Type="http://schemas.openxmlformats.org/officeDocument/2006/relationships/hyperlink" Target="https://www.insee.fr/fr/statistiques/serie/010534647" TargetMode="External"/><Relationship Id="rId27" Type="http://schemas.openxmlformats.org/officeDocument/2006/relationships/hyperlink" Target="https://www.insee.fr/fr/statistiques/serie/010534702" TargetMode="External"/><Relationship Id="rId30" Type="http://schemas.openxmlformats.org/officeDocument/2006/relationships/hyperlink" Target="https://www.insee.fr/fr/statistiques/serie/010534667" TargetMode="External"/><Relationship Id="rId35" Type="http://schemas.openxmlformats.org/officeDocument/2006/relationships/hyperlink" Target="https://www.insee.fr/fr/statistiques/serie/010536462" TargetMode="External"/><Relationship Id="rId43"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workbookViewId="0">
      <selection activeCell="B21" sqref="B21"/>
    </sheetView>
  </sheetViews>
  <sheetFormatPr baseColWidth="10" defaultRowHeight="15" x14ac:dyDescent="0.25"/>
  <cols>
    <col min="1" max="1" width="55.7109375" bestFit="1" customWidth="1"/>
    <col min="2" max="2" width="14.85546875" bestFit="1" customWidth="1"/>
    <col min="3" max="3" width="8" style="93" bestFit="1" customWidth="1"/>
    <col min="5" max="5" width="33.5703125" bestFit="1" customWidth="1"/>
  </cols>
  <sheetData>
    <row r="1" spans="1:7" s="121" customFormat="1" ht="15.75" x14ac:dyDescent="0.25">
      <c r="A1" s="134" t="s">
        <v>210</v>
      </c>
      <c r="C1" s="93"/>
    </row>
    <row r="2" spans="1:7" s="121" customFormat="1" x14ac:dyDescent="0.25">
      <c r="C2" s="93"/>
    </row>
    <row r="3" spans="1:7" s="121" customFormat="1" x14ac:dyDescent="0.25">
      <c r="C3" s="93"/>
    </row>
    <row r="4" spans="1:7" x14ac:dyDescent="0.25">
      <c r="A4" s="135" t="s">
        <v>211</v>
      </c>
      <c r="B4" s="93" t="str">
        <f>UPPER(TEXT(DATE3,"mmmmmmmm aaaa"))</f>
        <v>SEPTEMBRE 2022</v>
      </c>
      <c r="C4" s="189">
        <v>44805</v>
      </c>
      <c r="E4" s="135" t="s">
        <v>270</v>
      </c>
      <c r="F4" t="str">
        <f>UPPER(TEXT(DATE4,"mmmmmmmm aaaa"))</f>
        <v>SEPTEMBRE 2022</v>
      </c>
      <c r="G4" s="189">
        <v>44805</v>
      </c>
    </row>
    <row r="5" spans="1:7" x14ac:dyDescent="0.25">
      <c r="A5" t="str">
        <f>"*/"&amp;TEXT(EDATE(DATE3,-12),"aaaa")&amp;" = Cumul janv "&amp;TEXT(DATE3,"aaaa")&amp;"-"&amp;TEXT(DATE3,"mmm aaaa")&amp;" / Cumul janv "&amp;TEXT(EDATE(DATE3,-12),"aaaa")&amp;"-"&amp;TEXT(EDATE(DATE3,-12),"mmm aaaa")</f>
        <v>*/2021 = Cumul janv 2022-sept 2022 / Cumul janv 2021-sept 2021</v>
      </c>
      <c r="E5" s="121" t="str">
        <f>"*/"&amp;TEXT(EDATE(DATE4,-12),"aaaa")&amp;" = Cumul janv "&amp;TEXT(DATE4,"aaaa")&amp;"-"&amp;TEXT(DATE4,"mmm aaaa")&amp;" / Cumul janv "&amp;TEXT(EDATE(DATE4,-12),"aaaa")&amp;"-"&amp;TEXT(EDATE(DATE4,-12),"mmm aaaa")</f>
        <v>*/2021 = Cumul janv 2022-sept 2022 / Cumul janv 2021-sept 2021</v>
      </c>
    </row>
    <row r="6" spans="1:7" x14ac:dyDescent="0.25">
      <c r="A6" s="93" t="str">
        <f>"*/"&amp;TEXT(EDATE(DATE3,-24),"aaaa")&amp;" = Cumul janv "&amp;TEXT(DATE3,"aaaa")&amp;"-"&amp;TEXT(DATE3,"mmm aaaa")&amp;" / Cumul janv "&amp;TEXT(EDATE(DATE3,-24),"aaaa")&amp;"-"&amp;TEXT(EDATE(DATE3,-24),"mmm aaaa")</f>
        <v>*/2020 = Cumul janv 2022-sept 2022 / Cumul janv 2020-sept 2020</v>
      </c>
      <c r="E6" s="93" t="str">
        <f>"*/"&amp;TEXT(EDATE(DATE4,-24),"aaaa")&amp;" = Cumul janv "&amp;TEXT(DATE4,"aaaa")&amp;"-"&amp;TEXT(DATE4,"mmm aaaa")&amp;" / Cumul janv "&amp;TEXT(EDATE(DATE4,-24),"aaaa")&amp;"-"&amp;TEXT(EDATE(DATE4,-24),"mmm aaaa")</f>
        <v>*/2020 = Cumul janv 2022-sept 2022 / Cumul janv 2020-sept 2020</v>
      </c>
    </row>
    <row r="7" spans="1:7" x14ac:dyDescent="0.25">
      <c r="A7" s="93" t="str">
        <f>"*3 mois = Cumul "&amp;TEXT(EDATE(DATE3,-2),"mmm aaaa")&amp;"-"&amp;TEXT(DATE3,"mmm aaaa")&amp;" / Cumul "&amp;TEXT(EDATE(DATE3,-5),"mmm aaaa")&amp;"-"&amp;TEXT(EDATE(DATE3,-3),"mmm aaaa")</f>
        <v>*3 mois = Cumul juil 2022-sept 2022 / Cumul avr 2022-juin 2022</v>
      </c>
      <c r="E7" s="93" t="str">
        <f>"*3 mois = Cumul "&amp;TEXT(EDATE(DATE4,-2),"mmm aaaa")&amp;"-"&amp;TEXT(DATE4,"mmm aaaa")&amp;" / Cumul "&amp;TEXT(EDATE(DATE4,-5),"mmm aaaa")&amp;"-"&amp;TEXT(EDATE(DATE4,-3),"mmm aaaa")</f>
        <v>*3 mois = Cumul juil 2022-sept 2022 / Cumul avr 2022-juin 2022</v>
      </c>
    </row>
    <row r="8" spans="1:7" x14ac:dyDescent="0.25">
      <c r="A8" s="93" t="str">
        <f>"*6 mois = Cumul "&amp;TEXT(EDATE(DATE3,-5),"mmm aaaa")&amp;"-"&amp;TEXT(DATE3,"mmm aaaa")&amp;" / Cumul "&amp;TEXT(EDATE(DATE3,-11),"mmm aaaa")&amp;"-"&amp;TEXT(EDATE(DATE3,-6),"mmm aaaa")</f>
        <v>*6 mois = Cumul avr 2022-sept 2022 / Cumul oct 2021-mars 2022</v>
      </c>
      <c r="E8" s="93" t="str">
        <f>"*6 mois = Cumul "&amp;TEXT(EDATE(DATE4,-5),"mmm aaaa")&amp;"-"&amp;TEXT(DATE4,"mmm aaaa")&amp;" / Cumul "&amp;TEXT(EDATE(DATE4,-11),"mmm aaaa")&amp;"-"&amp;TEXT(EDATE(DATE4,-6),"mmm aaaa")</f>
        <v>*6 mois = Cumul avr 2022-sept 2022 / Cumul oct 2021-mars 2022</v>
      </c>
    </row>
    <row r="9" spans="1:7" x14ac:dyDescent="0.25">
      <c r="A9" s="93" t="str">
        <f>"*/"&amp;TEXT(EDATE(DATE3,-24),"aaaa")</f>
        <v>*/2020</v>
      </c>
      <c r="E9" t="str">
        <f>"*12 mois =  Cumul "&amp;TEXT(EDATE(DATE4,-11),"mmm aaaa")&amp;"-"&amp;TEXT(DATE4,"mmm aaaa")&amp;" / Cumul "&amp;TEXT(EDATE(DATE4,-23),"mmm aaaa")&amp;"-"&amp;TEXT(EDATE(DATE4,-12),"mmm aaaa")</f>
        <v>*12 mois =  Cumul oct 2021-sept 2022 / Cumul oct 2020-sept 2021</v>
      </c>
    </row>
    <row r="10" spans="1:7" x14ac:dyDescent="0.25">
      <c r="A10" s="93" t="str">
        <f>"*/"&amp;TEXT(EDATE(DATE3,-12),"aaaa")</f>
        <v>*/2021</v>
      </c>
      <c r="E10" s="121" t="str">
        <f>"*24 mois =  Cumul "&amp;TEXT(EDATE(DATE4,-11),"mmm aaaa")&amp;"-"&amp;TEXT(DATE4,"mmm aaaa")&amp;" / Cumul "&amp;TEXT(EDATE(DATE4,-35),"mmm aaaa")&amp;"-"&amp;TEXT(EDATE(DATE4,-24),"mmm aaaa")</f>
        <v>*24 mois =  Cumul oct 2021-sept 2022 / Cumul oct 2019-sept 2020</v>
      </c>
    </row>
    <row r="11" spans="1:7" x14ac:dyDescent="0.25">
      <c r="A11" s="93" t="s">
        <v>50</v>
      </c>
      <c r="E11" s="93" t="str">
        <f>"*/"&amp;TEXT(EDATE(DATE4,-24),"aaaa")</f>
        <v>*/2020</v>
      </c>
    </row>
    <row r="12" spans="1:7" x14ac:dyDescent="0.25">
      <c r="A12" s="93" t="s">
        <v>51</v>
      </c>
      <c r="E12" s="93" t="str">
        <f>"*/"&amp;TEXT(EDATE(DATE4,-12),"aaaa")</f>
        <v>*/2021</v>
      </c>
    </row>
    <row r="13" spans="1:7" x14ac:dyDescent="0.25">
      <c r="E13" t="s">
        <v>277</v>
      </c>
    </row>
    <row r="14" spans="1:7" x14ac:dyDescent="0.25">
      <c r="E14" t="s">
        <v>278</v>
      </c>
    </row>
    <row r="15" spans="1:7" ht="15.75" x14ac:dyDescent="0.25">
      <c r="A15" s="134" t="s">
        <v>201</v>
      </c>
      <c r="E15" t="str">
        <f>"*/"&amp;TEXT(EDATE(DATE4,-12),"Mmmmmmm aaaa")</f>
        <v>*/septembre 2021</v>
      </c>
    </row>
    <row r="16" spans="1:7" x14ac:dyDescent="0.25">
      <c r="A16" s="122">
        <f>DATE1</f>
        <v>43101</v>
      </c>
      <c r="E16" t="str">
        <f>"*/"&amp;TEXT(EDATE(DATE4,-24),"mmmmmmm aaaa")</f>
        <v>*/septembre 2020</v>
      </c>
    </row>
    <row r="17" spans="1:5" x14ac:dyDescent="0.25">
      <c r="A17" s="122">
        <f>DATE2</f>
        <v>44805</v>
      </c>
      <c r="E17" t="str">
        <f xml:space="preserve"> "*/"&amp;TEXT(EDATE(DATE4,-12), "mmmmmmmm aaaa")&amp;" = "&amp; TEXT(DATE4,  "mmmmmmmm aaaa" ) &amp;"/"&amp;TEXT(EDATE(DATE4,-12), "mmmmmmmm aaaa")</f>
        <v>*/septembre 2021 = septembre 2022/septembre 2021</v>
      </c>
    </row>
    <row r="18" spans="1:5" x14ac:dyDescent="0.25">
      <c r="A18" s="122"/>
      <c r="E18" s="121" t="str">
        <f xml:space="preserve"> "*/"&amp;TEXT(EDATE(DATE4,-24), "mmmmmmmm aaaa")&amp;" = "&amp; TEXT(DATE4,  "mmmmmmmm aaaa" ) &amp;"/"&amp;TEXT(EDATE(DATE4,-24), "mmmmmmmm aaaa")</f>
        <v>*/septembre 2020 = septembre 2022/septembre 2020</v>
      </c>
    </row>
  </sheetData>
  <sheetProtection algorithmName="SHA-512" hashValue="ukgplkHCTc0seiwwjoFsG2fV8T4YUs5OHfyzgwTKDF7irwUyE0ztYvg0gzNJYN//vIGDdeJdGBnj5skncrMLHQ==" saltValue="qmPsMz3qogQnge6DmksTfw=="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03"/>
  <sheetViews>
    <sheetView topLeftCell="A13" workbookViewId="0">
      <selection activeCell="E56" sqref="E56"/>
    </sheetView>
  </sheetViews>
  <sheetFormatPr baseColWidth="10" defaultColWidth="11.42578125" defaultRowHeight="15" x14ac:dyDescent="0.25"/>
  <cols>
    <col min="1" max="16384" width="11.42578125" style="93"/>
  </cols>
  <sheetData>
    <row r="1" spans="1:23" x14ac:dyDescent="0.25">
      <c r="A1" s="93" t="s">
        <v>197</v>
      </c>
      <c r="C1" s="93" t="str">
        <f>'RESULTATS DATE A DATE'!B3</f>
        <v>TP02</v>
      </c>
      <c r="E1" s="110">
        <f>DATE1</f>
        <v>43101</v>
      </c>
      <c r="F1" s="111"/>
      <c r="G1" s="126"/>
      <c r="H1" s="111"/>
      <c r="I1" s="112"/>
    </row>
    <row r="2" spans="1:23" x14ac:dyDescent="0.25">
      <c r="A2" s="93" t="s">
        <v>193</v>
      </c>
      <c r="C2" s="104">
        <f>SUM(INDEX(compo_index,MATCH(C1,'COMPOSITION INDEX'!A1:A26),2))</f>
        <v>0.1</v>
      </c>
      <c r="E2" s="110">
        <f>DATE2</f>
        <v>44805</v>
      </c>
      <c r="F2" s="112"/>
      <c r="G2" s="111"/>
      <c r="H2" s="111"/>
      <c r="I2" s="112"/>
    </row>
    <row r="3" spans="1:23" x14ac:dyDescent="0.25">
      <c r="E3" s="113"/>
      <c r="F3" s="111"/>
      <c r="G3" s="111"/>
      <c r="H3" s="111"/>
      <c r="I3" s="112"/>
    </row>
    <row r="4" spans="1:23" x14ac:dyDescent="0.25">
      <c r="A4" s="112" t="str">
        <f>"Composition globale du "&amp;C1</f>
        <v>Composition globale du TP02</v>
      </c>
      <c r="B4" s="111"/>
      <c r="C4" s="111"/>
      <c r="D4" s="111"/>
      <c r="E4" s="111"/>
      <c r="F4" s="112"/>
      <c r="G4" s="112"/>
      <c r="H4" s="4">
        <v>1711009</v>
      </c>
      <c r="I4" s="121" t="s">
        <v>134</v>
      </c>
    </row>
    <row r="5" spans="1:23" x14ac:dyDescent="0.25">
      <c r="A5" s="112" t="s">
        <v>185</v>
      </c>
      <c r="B5" s="112" t="s">
        <v>134</v>
      </c>
      <c r="C5" s="121" cm="1">
        <f t="array" ref="C5">SUM(IF((INDEX(compo_index,1,)=A5)*(INDEX(compo_index,,1)=C1),INDEX(compo_index,,),0))</f>
        <v>0.15</v>
      </c>
      <c r="D5" s="112"/>
      <c r="E5" s="112"/>
      <c r="F5" s="112"/>
      <c r="G5" s="115"/>
      <c r="H5" s="4">
        <v>5540998</v>
      </c>
      <c r="I5" s="121" t="s">
        <v>135</v>
      </c>
    </row>
    <row r="6" spans="1:23" x14ac:dyDescent="0.25">
      <c r="A6" s="112" t="s">
        <v>186</v>
      </c>
      <c r="B6" s="112" t="s">
        <v>135</v>
      </c>
      <c r="C6" s="121" cm="1">
        <f t="array" ref="C6">SUM(IF((INDEX(compo_index,1,)=A6)*(INDEX(compo_index,,1)=C1),INDEX(compo_index,,),0))</f>
        <v>0.55000000000000004</v>
      </c>
      <c r="D6" s="112"/>
      <c r="E6" s="112"/>
      <c r="F6" s="112"/>
      <c r="G6" s="112"/>
      <c r="H6" s="4">
        <v>1565195</v>
      </c>
      <c r="I6" s="121" t="s">
        <v>136</v>
      </c>
    </row>
    <row r="7" spans="1:23" x14ac:dyDescent="0.25">
      <c r="A7" s="112" t="s">
        <v>187</v>
      </c>
      <c r="B7" s="112" t="s">
        <v>194</v>
      </c>
      <c r="C7" s="121" cm="1">
        <f t="array" ref="C7">SUM(IF((INDEX(compo_index,1,)=A7)*(INDEX(compo_index,,1)=C1),INDEX(compo_index,,),0))</f>
        <v>0.01</v>
      </c>
      <c r="D7" s="112"/>
      <c r="E7" s="112"/>
      <c r="F7" s="112"/>
      <c r="G7" s="112"/>
      <c r="H7" s="192" t="s">
        <v>280</v>
      </c>
      <c r="I7" s="121" t="s">
        <v>137</v>
      </c>
    </row>
    <row r="8" spans="1:23" x14ac:dyDescent="0.25">
      <c r="A8" s="112" t="s">
        <v>190</v>
      </c>
      <c r="B8" s="112" t="s">
        <v>195</v>
      </c>
      <c r="C8" s="121" cm="1">
        <f t="array" ref="C8">SUM(IF((INDEX(compo_index,1,)=A8)*(INDEX(compo_index,,1)=C1),INDEX(compo_index,,),0))</f>
        <v>0.27</v>
      </c>
      <c r="D8" s="112"/>
      <c r="E8" s="112"/>
      <c r="F8" s="112"/>
      <c r="G8" s="115"/>
      <c r="H8" s="4">
        <v>1764283</v>
      </c>
      <c r="I8" s="121" t="s">
        <v>138</v>
      </c>
    </row>
    <row r="9" spans="1:23" x14ac:dyDescent="0.25">
      <c r="A9" s="112" t="s">
        <v>188</v>
      </c>
      <c r="B9" s="112" t="s">
        <v>139</v>
      </c>
      <c r="C9" s="121" cm="1">
        <f t="array" ref="C9">SUM(IF((INDEX(compo_index,1,)=A9)*(INDEX(compo_index,,1)=C1),INDEX(compo_index,,),0))</f>
        <v>0.01</v>
      </c>
      <c r="D9" s="112"/>
      <c r="E9" s="112"/>
      <c r="F9" s="112"/>
      <c r="G9" s="115"/>
      <c r="H9" s="4">
        <v>1711011</v>
      </c>
      <c r="I9" s="121" t="s">
        <v>139</v>
      </c>
    </row>
    <row r="10" spans="1:23" x14ac:dyDescent="0.25">
      <c r="A10" s="112" t="s">
        <v>189</v>
      </c>
      <c r="B10" s="112" t="s">
        <v>183</v>
      </c>
      <c r="C10" s="121" cm="1">
        <f t="array" ref="C10">SUM(IF((INDEX(compo_index,1,)=A10)*(INDEX(compo_index,,1)=C1),INDEX(compo_index,,),0))</f>
        <v>0.01</v>
      </c>
      <c r="D10" s="112"/>
      <c r="E10" s="112"/>
      <c r="F10" s="112"/>
      <c r="G10" s="115"/>
      <c r="H10" s="121" t="s">
        <v>61</v>
      </c>
      <c r="I10" s="121" t="s">
        <v>140</v>
      </c>
    </row>
    <row r="11" spans="1:23" x14ac:dyDescent="0.25">
      <c r="A11" s="112" t="s">
        <v>191</v>
      </c>
      <c r="B11" s="112" t="s">
        <v>196</v>
      </c>
      <c r="C11" s="121" cm="1">
        <f t="array" ref="C11">SUM(IF((INDEX(compo_index,1,)=A11)*(INDEX(compo_index,,1)=C1),INDEX(compo_index,,),0))</f>
        <v>0</v>
      </c>
      <c r="D11" s="112"/>
      <c r="E11" s="115"/>
      <c r="F11" s="115"/>
      <c r="G11" s="112"/>
      <c r="H11" s="112"/>
      <c r="I11" s="112"/>
    </row>
    <row r="12" spans="1:23" x14ac:dyDescent="0.25">
      <c r="I12" s="112"/>
    </row>
    <row r="13" spans="1:23" x14ac:dyDescent="0.25">
      <c r="A13" s="117"/>
      <c r="B13" s="117"/>
      <c r="I13" s="112"/>
    </row>
    <row r="14" spans="1:23" x14ac:dyDescent="0.25">
      <c r="A14" s="116"/>
      <c r="B14" s="116" t="s">
        <v>24</v>
      </c>
      <c r="C14" s="116" t="str">
        <f>C1</f>
        <v>TP02</v>
      </c>
      <c r="D14" s="116" t="s">
        <v>134</v>
      </c>
      <c r="E14" s="116" t="s">
        <v>135</v>
      </c>
      <c r="F14" s="116" t="s">
        <v>137</v>
      </c>
      <c r="G14" s="116" t="str">
        <f>IF(OR(N15=E14,N15=D14),IF(OR(N16=E14, N16=D14),N17,N16),N15)</f>
        <v>Béton prêt à l'emploi</v>
      </c>
      <c r="H14" s="116" t="str">
        <f>IF(OR(N16=D14,N16=E14,N16=G14),N18,N16)</f>
        <v>Barres crénelées ou nervurées pour béton armé</v>
      </c>
      <c r="I14" s="112"/>
      <c r="M14" s="112" t="str">
        <f>C1</f>
        <v>TP02</v>
      </c>
      <c r="N14" s="112"/>
      <c r="O14" s="112"/>
      <c r="Q14" s="243" t="s">
        <v>202</v>
      </c>
      <c r="R14" s="243"/>
      <c r="S14" s="243"/>
      <c r="U14" s="242" t="s">
        <v>203</v>
      </c>
      <c r="V14" s="242"/>
      <c r="W14" s="242"/>
    </row>
    <row r="15" spans="1:23" x14ac:dyDescent="0.25">
      <c r="A15" s="116"/>
      <c r="D15" s="116" t="str">
        <f>HLOOKUP(D14,'COMPOSITION INDEX'!$A$2:$AR$3,2,FALSE)</f>
        <v>001711009</v>
      </c>
      <c r="E15" s="116" t="str">
        <f>HLOOKUP(E14,'COMPOSITION INDEX'!$A$2:$AR$3,2,FALSE)</f>
        <v>5540998</v>
      </c>
      <c r="F15" s="116" t="str">
        <f>HLOOKUP(F14,'COMPOSITION INDEX'!$A$2:$AR$3,2,FALSE)</f>
        <v>010758171</v>
      </c>
      <c r="G15" s="116" t="str">
        <f>HLOOKUP(G14,'COMPOSITION INDEX'!$A$2:$AR$3,2,FALSE)</f>
        <v>010534646</v>
      </c>
      <c r="H15" s="116" t="str">
        <f>HLOOKUP(H14,'COMPOSITION INDEX'!$A$2:$AR$3,2,FALSE)</f>
        <v>010546545</v>
      </c>
      <c r="I15" s="112"/>
      <c r="L15" s="93" t="str" cm="1">
        <f t="array" ref="L15:L55">TRANSPOSE(INDEX('COMPOSITION INDEX'!D1:AR26,2,))</f>
        <v>Matériel</v>
      </c>
      <c r="M15" s="114" cm="1">
        <f t="array" ref="M15:M55">TRANSPOSE(INDEX('COMPOSITION INDEX'!D1:AR26,MATCH(index_choisi,'COMPOSITION INDEX'!A1:A26,0),))</f>
        <v>0.15</v>
      </c>
      <c r="N15" s="112" t="str" cm="1">
        <f t="array" ref="N15:O55">_xlfn._xlws.SORT(L15:M55,2,-1,FALSE)</f>
        <v>Travail</v>
      </c>
      <c r="O15" s="112">
        <v>0.55000000000000004</v>
      </c>
      <c r="P15" s="112"/>
      <c r="Q15" s="121" t="str" cm="1">
        <f t="array" ref="Q15:S55">'DATE A DATE '!A39:C79</f>
        <v>001711009</v>
      </c>
      <c r="R15" s="93" t="str">
        <v>Matériel</v>
      </c>
      <c r="S15" s="124">
        <v>0.12487992315081642</v>
      </c>
      <c r="T15" s="112"/>
      <c r="U15" s="112" t="str" cm="1">
        <f t="array" ref="U15:W37">'DATE A DATE '!A7:C29</f>
        <v>TP01</v>
      </c>
      <c r="V15" s="93" t="str">
        <v>Index général tous travaux</v>
      </c>
      <c r="W15" s="125">
        <v>0.19664492078285201</v>
      </c>
    </row>
    <row r="16" spans="1:23" x14ac:dyDescent="0.25">
      <c r="A16" s="119">
        <f>DATE1</f>
        <v>43101</v>
      </c>
      <c r="B16" s="118" cm="1">
        <f t="array" ref="B16">IF(A16&lt;=DATE2,SUM(IF((INDEX(INDEX,,1)=A16)*(INDEX(INDEX,3,)="TP01"),INDEX(INDEX,,),0)),"")</f>
        <v>107.3</v>
      </c>
      <c r="C16" s="118" cm="1">
        <f t="array" ref="C16">IF(A16&lt;=DATE2,SUM(IF((INDEX(INDEX,,1)=A16)*(INDEX(INDEX,3,)=index_choisi),INDEX(INDEX,,),0)),"")</f>
        <v>111.2</v>
      </c>
      <c r="D16" s="118" cm="1">
        <f t="array" ref="D16">IF(A16&lt;=DATE2,SUM(IF((INDEX(INDICES,,1)=A16)*(INDEX(INDICES,5,)="Matériel"),INDEX(INDICES,,),0)),"")</f>
        <v>104.1</v>
      </c>
      <c r="E16" s="118" cm="1">
        <f t="array" ref="E16">IF(A16&lt;=DATE2,SUM(IF((INDEX(INDICES,,1)=A16)*(INDEX(INDICES,5,)="Travail"),INDEX(INDICES,,),0)),"")</f>
        <v>117.8</v>
      </c>
      <c r="F16" s="118" cm="1">
        <f t="array" ref="F16">IF(A16&lt;=DATE2,SUM(IF((INDEX(INDICES,,1)=A16)*(INDEX(INDICES,5,)="GNR"),INDEX(INDICES,,),0)),"")</f>
        <v>130.80422550941537</v>
      </c>
      <c r="G16" s="118" cm="1">
        <f t="array" ref="G16">IF(A16&lt;=DATE2,SUM(IF((INDEX(INDICES,,1)=A16)*(INDEX(INDICES,5,)=indice_compo_max),INDEX(INDICES,,),0)),"")</f>
        <v>99.6</v>
      </c>
      <c r="H16" s="118" cm="1">
        <f t="array" ref="H16">IF(A16&lt;=DATE2,SUM(IF((INDEX(INDICES,,1)=A16)*(INDEX(INDICES,5,)=indice_compo_max2),INDEX(INDICES,,),0)),"")</f>
        <v>127.8</v>
      </c>
      <c r="I16" s="112"/>
      <c r="L16" s="93" t="str">
        <v>Travail</v>
      </c>
      <c r="M16" s="113">
        <v>0.55000000000000004</v>
      </c>
      <c r="N16" s="112" t="str">
        <v>Matériel</v>
      </c>
      <c r="O16" s="112">
        <v>0.15</v>
      </c>
      <c r="P16" s="112"/>
      <c r="Q16" s="121" t="str">
        <v>5540998</v>
      </c>
      <c r="R16" s="93" t="str">
        <v>Travail</v>
      </c>
      <c r="S16" s="124">
        <v>5.0084889643463582E-2</v>
      </c>
      <c r="T16" s="112"/>
      <c r="U16" s="112" t="str">
        <v>TP02</v>
      </c>
      <c r="V16" s="93" t="str">
        <v>Travaux de génie civil et d’ouvrages d’art neufs ou rénovation</v>
      </c>
      <c r="W16" s="125">
        <v>0.17715827338129508</v>
      </c>
    </row>
    <row r="17" spans="1:23" x14ac:dyDescent="0.25">
      <c r="A17" s="119">
        <f t="shared" ref="A17:A48" si="0">IF(A16&lt;DATE2,EDATE(A16,1),"")</f>
        <v>43132</v>
      </c>
      <c r="B17" s="118" cm="1">
        <f t="array" ref="B17">IF(A17&lt;=DATE2,SUM(IF((INDEX(INDEX,,1)=A17)*(INDEX(INDEX,3,)="TP01"),INDEX(INDEX,,),0)),"")</f>
        <v>107.4</v>
      </c>
      <c r="C17" s="118" cm="1">
        <f t="array" ref="C17">IF(A17&lt;=DATE2,SUM(IF((INDEX(INDEX,,1)=A17)*(INDEX(INDEX,3,)=index_choisi),INDEX(INDEX,,),0)),"")</f>
        <v>111.5</v>
      </c>
      <c r="D17" s="118" cm="1">
        <f t="array" ref="D17">IF(A17&lt;=DATE2,SUM(IF((INDEX(INDICES,,1)=A17)*(INDEX(INDICES,5,)="Matériel"),INDEX(INDICES,,),0)),"")</f>
        <v>103.8</v>
      </c>
      <c r="E17" s="118" cm="1">
        <f t="array" ref="E17">IF(A17&lt;=DATE2,SUM(IF((INDEX(INDICES,,1)=A17)*(INDEX(INDICES,5,)="Travail"),INDEX(INDICES,,),0)),"")</f>
        <v>117.8</v>
      </c>
      <c r="F17" s="118" cm="1">
        <f t="array" ref="F17">IF(A17&lt;=DATE2,SUM(IF((INDEX(INDICES,,1)=A17)*(INDEX(INDICES,5,)="GNR"),INDEX(INDICES,,),0)),"")</f>
        <v>134.18127091843644</v>
      </c>
      <c r="G17" s="118" cm="1">
        <f t="array" ref="G17">IF(A17&lt;=DATE2,SUM(IF((INDEX(INDICES,,1)=A17)*(INDEX(INDICES,5,)=indice_compo_max),INDEX(INDICES,,),0)),"")</f>
        <v>99.4</v>
      </c>
      <c r="H17" s="118" cm="1">
        <f t="array" ref="H17">IF(A17&lt;=DATE2,SUM(IF((INDEX(INDICES,,1)=A17)*(INDEX(INDICES,5,)=indice_compo_max2),INDEX(INDICES,,),0)),"")</f>
        <v>128.5</v>
      </c>
      <c r="I17" s="112"/>
      <c r="L17" s="93" t="str">
        <v>GNR</v>
      </c>
      <c r="M17" s="113">
        <v>0</v>
      </c>
      <c r="N17" s="112" t="str">
        <v>Béton prêt à l'emploi</v>
      </c>
      <c r="O17" s="112">
        <v>0.12</v>
      </c>
      <c r="P17" s="112"/>
      <c r="Q17" s="121" t="str">
        <v>001565195</v>
      </c>
      <c r="R17" s="93" t="str">
        <v>Travail activités spécialisées</v>
      </c>
      <c r="S17" s="124">
        <v>9.0356211989574442E-2</v>
      </c>
      <c r="T17" s="112"/>
      <c r="U17" s="112" t="str">
        <v>TP03a</v>
      </c>
      <c r="V17" s="93" t="str">
        <v>Grands terrassements</v>
      </c>
      <c r="W17" s="125">
        <v>0.14298978644382543</v>
      </c>
    </row>
    <row r="18" spans="1:23" x14ac:dyDescent="0.25">
      <c r="A18" s="119">
        <f t="shared" si="0"/>
        <v>43160</v>
      </c>
      <c r="B18" s="118" cm="1">
        <f t="array" ref="B18">IF(A18&lt;=DATE2,SUM(IF((INDEX(INDEX,,1)=A18)*(INDEX(INDEX,3,)="TP01"),INDEX(INDEX,,),0)),"")</f>
        <v>107.7</v>
      </c>
      <c r="C18" s="118" cm="1">
        <f t="array" ref="C18">IF(A18&lt;=DATE2,SUM(IF((INDEX(INDEX,,1)=A18)*(INDEX(INDEX,3,)=index_choisi),INDEX(INDEX,,),0)),"")</f>
        <v>112</v>
      </c>
      <c r="D18" s="118" cm="1">
        <f t="array" ref="D18">IF(A18&lt;=DATE2,SUM(IF((INDEX(INDICES,,1)=A18)*(INDEX(INDICES,5,)="Matériel"),INDEX(INDICES,,),0)),"")</f>
        <v>104.1</v>
      </c>
      <c r="E18" s="118" cm="1">
        <f t="array" ref="E18">IF(A18&lt;=DATE2,SUM(IF((INDEX(INDICES,,1)=A18)*(INDEX(INDICES,5,)="Travail"),INDEX(INDICES,,),0)),"")</f>
        <v>117.7</v>
      </c>
      <c r="F18" s="118" cm="1">
        <f t="array" ref="F18">IF(A18&lt;=DATE2,SUM(IF((INDEX(INDICES,,1)=A18)*(INDEX(INDICES,5,)="GNR"),INDEX(INDICES,,),0)),"")</f>
        <v>132.80974174380165</v>
      </c>
      <c r="G18" s="118" cm="1">
        <f t="array" ref="G18">IF(A18&lt;=DATE2,SUM(IF((INDEX(INDICES,,1)=A18)*(INDEX(INDICES,5,)=indice_compo_max),INDEX(INDICES,,),0)),"")</f>
        <v>100.2</v>
      </c>
      <c r="H18" s="118" cm="1">
        <f t="array" ref="H18">IF(A18&lt;=DATE2,SUM(IF((INDEX(INDICES,,1)=A18)*(INDEX(INDICES,5,)=indice_compo_max2),INDEX(INDICES,,),0)),"")</f>
        <v>130.30000000000001</v>
      </c>
      <c r="I18" s="112"/>
      <c r="L18" s="93" t="str">
        <v>Gazole</v>
      </c>
      <c r="M18" s="113">
        <v>0</v>
      </c>
      <c r="N18" s="112" t="str">
        <v>Barres crénelées ou nervurées pour béton armé</v>
      </c>
      <c r="O18" s="112">
        <v>0.09</v>
      </c>
      <c r="P18" s="112"/>
      <c r="Q18" s="121" t="str">
        <v>010758171</v>
      </c>
      <c r="R18" s="93" t="str">
        <v>GNR</v>
      </c>
      <c r="S18" s="124">
        <v>0.33787726901378567</v>
      </c>
      <c r="T18" s="112"/>
      <c r="U18" s="112" t="str">
        <v>TP03b</v>
      </c>
      <c r="V18" s="93" t="str">
        <v>Travaux à l’explosif</v>
      </c>
      <c r="W18" s="125">
        <v>0.12033582089552231</v>
      </c>
    </row>
    <row r="19" spans="1:23" x14ac:dyDescent="0.25">
      <c r="A19" s="119">
        <f t="shared" si="0"/>
        <v>43191</v>
      </c>
      <c r="B19" s="118" cm="1">
        <f t="array" ref="B19">IF(A19&lt;=DATE2,SUM(IF((INDEX(INDEX,,1)=A19)*(INDEX(INDEX,3,)="TP01"),INDEX(INDEX,,),0)),"")</f>
        <v>108.1</v>
      </c>
      <c r="C19" s="118" cm="1">
        <f t="array" ref="C19">IF(A19&lt;=DATE2,SUM(IF((INDEX(INDEX,,1)=A19)*(INDEX(INDEX,3,)=index_choisi),INDEX(INDEX,,),0)),"")</f>
        <v>112.2</v>
      </c>
      <c r="D19" s="118" cm="1">
        <f t="array" ref="D19">IF(A19&lt;=DATE2,SUM(IF((INDEX(INDICES,,1)=A19)*(INDEX(INDICES,5,)="Matériel"),INDEX(INDICES,,),0)),"")</f>
        <v>104.3</v>
      </c>
      <c r="E19" s="118" cm="1">
        <f t="array" ref="E19">IF(A19&lt;=DATE2,SUM(IF((INDEX(INDICES,,1)=A19)*(INDEX(INDICES,5,)="Travail"),INDEX(INDICES,,),0)),"")</f>
        <v>118</v>
      </c>
      <c r="F19" s="118" cm="1">
        <f t="array" ref="F19">IF(A19&lt;=DATE2,SUM(IF((INDEX(INDICES,,1)=A19)*(INDEX(INDICES,5,)="GNR"),INDEX(INDICES,,),0)),"")</f>
        <v>126.96957394725013</v>
      </c>
      <c r="G19" s="118" cm="1">
        <f t="array" ref="G19">IF(A19&lt;=DATE2,SUM(IF((INDEX(INDICES,,1)=A19)*(INDEX(INDICES,5,)=indice_compo_max),INDEX(INDICES,,),0)),"")</f>
        <v>101</v>
      </c>
      <c r="H19" s="118" cm="1">
        <f t="array" ref="H19">IF(A19&lt;=DATE2,SUM(IF((INDEX(INDICES,,1)=A19)*(INDEX(INDICES,5,)=indice_compo_max2),INDEX(INDICES,,),0)),"")</f>
        <v>131.1</v>
      </c>
      <c r="I19" s="112"/>
      <c r="L19" s="93" t="str">
        <v>Frais divers</v>
      </c>
      <c r="M19" s="113">
        <v>0.01</v>
      </c>
      <c r="N19" s="112" t="str">
        <v>Tubes, tuyaux en matière plastique</v>
      </c>
      <c r="O19" s="112">
        <v>0.04</v>
      </c>
      <c r="P19" s="112"/>
      <c r="Q19" s="121" t="str">
        <v>001764283</v>
      </c>
      <c r="R19" s="93" t="str">
        <v>Gazole</v>
      </c>
      <c r="S19" s="124">
        <v>0.23361372532689284</v>
      </c>
      <c r="T19" s="112"/>
      <c r="U19" s="112" t="str">
        <v>TP04</v>
      </c>
      <c r="V19" s="93" t="str">
        <v xml:space="preserve">Fondations et travaux géotechniques </v>
      </c>
      <c r="W19" s="125">
        <v>0.19269406392694055</v>
      </c>
    </row>
    <row r="20" spans="1:23" x14ac:dyDescent="0.25">
      <c r="A20" s="119">
        <f t="shared" si="0"/>
        <v>43221</v>
      </c>
      <c r="B20" s="118" cm="1">
        <f t="array" ref="B20">IF(A20&lt;=DATE2,SUM(IF((INDEX(INDEX,,1)=A20)*(INDEX(INDEX,3,)="TP01"),INDEX(INDEX,,),0)),"")</f>
        <v>108.8</v>
      </c>
      <c r="C20" s="118" cm="1">
        <f t="array" ref="C20">IF(A20&lt;=DATE2,SUM(IF((INDEX(INDEX,,1)=A20)*(INDEX(INDEX,3,)=index_choisi),INDEX(INDEX,,),0)),"")</f>
        <v>112.4</v>
      </c>
      <c r="D20" s="118" cm="1">
        <f t="array" ref="D20">IF(A20&lt;=DATE2,SUM(IF((INDEX(INDICES,,1)=A20)*(INDEX(INDICES,5,)="Matériel"),INDEX(INDICES,,),0)),"")</f>
        <v>104.5</v>
      </c>
      <c r="E20" s="118" cm="1">
        <f t="array" ref="E20">IF(A20&lt;=DATE2,SUM(IF((INDEX(INDICES,,1)=A20)*(INDEX(INDICES,5,)="Travail"),INDEX(INDICES,,),0)),"")</f>
        <v>118.2</v>
      </c>
      <c r="F20" s="118" cm="1">
        <f t="array" ref="F20">IF(A20&lt;=DATE2,SUM(IF((INDEX(INDICES,,1)=A20)*(INDEX(INDICES,5,)="GNR"),INDEX(INDICES,,),0)),"")</f>
        <v>123.0612760909417</v>
      </c>
      <c r="G20" s="118" cm="1">
        <f t="array" ref="G20">IF(A20&lt;=DATE2,SUM(IF((INDEX(INDICES,,1)=A20)*(INDEX(INDICES,5,)=indice_compo_max),INDEX(INDICES,,),0)),"")</f>
        <v>101.8</v>
      </c>
      <c r="H20" s="118" cm="1">
        <f t="array" ref="H20">IF(A20&lt;=DATE2,SUM(IF((INDEX(INDICES,,1)=A20)*(INDEX(INDICES,5,)=indice_compo_max2),INDEX(INDICES,,),0)),"")</f>
        <v>130.19999999999999</v>
      </c>
      <c r="I20" s="112"/>
      <c r="L20" s="93" t="str">
        <v>Transports routiers</v>
      </c>
      <c r="M20" s="113">
        <v>0.01</v>
      </c>
      <c r="N20" s="112" t="str">
        <v>Ensemble des produits du sciage</v>
      </c>
      <c r="O20" s="112">
        <v>0.02</v>
      </c>
      <c r="P20" s="112"/>
      <c r="Q20" s="121" t="str">
        <v>001711011</v>
      </c>
      <c r="R20" s="93" t="str">
        <v>Frais divers</v>
      </c>
      <c r="S20" s="124">
        <v>0.11133004926108381</v>
      </c>
      <c r="T20" s="112"/>
      <c r="U20" s="112" t="str">
        <v>TP05a</v>
      </c>
      <c r="V20" s="93" t="str">
        <v xml:space="preserve">Travaux en souterrains traditionnels </v>
      </c>
      <c r="W20" s="125">
        <v>0.16176470588235303</v>
      </c>
    </row>
    <row r="21" spans="1:23" x14ac:dyDescent="0.25">
      <c r="A21" s="119">
        <f t="shared" si="0"/>
        <v>43252</v>
      </c>
      <c r="B21" s="118" cm="1">
        <f t="array" ref="B21">IF(A21&lt;=DATE2,SUM(IF((INDEX(INDEX,,1)=A21)*(INDEX(INDEX,3,)="TP01"),INDEX(INDEX,,),0)),"")</f>
        <v>109.6</v>
      </c>
      <c r="C21" s="118" cm="1">
        <f t="array" ref="C21">IF(A21&lt;=DATE2,SUM(IF((INDEX(INDEX,,1)=A21)*(INDEX(INDEX,3,)=index_choisi),INDEX(INDEX,,),0)),"")</f>
        <v>112.2</v>
      </c>
      <c r="D21" s="118" cm="1">
        <f t="array" ref="D21">IF(A21&lt;=DATE2,SUM(IF((INDEX(INDICES,,1)=A21)*(INDEX(INDICES,5,)="Matériel"),INDEX(INDICES,,),0)),"")</f>
        <v>104.6</v>
      </c>
      <c r="E21" s="118" cm="1">
        <f t="array" ref="E21">IF(A21&lt;=DATE2,SUM(IF((INDEX(INDICES,,1)=A21)*(INDEX(INDICES,5,)="Travail"),INDEX(INDICES,,),0)),"")</f>
        <v>118.4</v>
      </c>
      <c r="F21" s="118" cm="1">
        <f t="array" ref="F21">IF(A21&lt;=DATE2,SUM(IF((INDEX(INDICES,,1)=A21)*(INDEX(INDICES,5,)="GNR"),INDEX(INDICES,,),0)),"")</f>
        <v>124.33703094674891</v>
      </c>
      <c r="G21" s="118" cm="1">
        <f t="array" ref="G21">IF(A21&lt;=DATE2,SUM(IF((INDEX(INDICES,,1)=A21)*(INDEX(INDICES,5,)=indice_compo_max),INDEX(INDICES,,),0)),"")</f>
        <v>101.7</v>
      </c>
      <c r="H21" s="118" cm="1">
        <f t="array" ref="H21">IF(A21&lt;=DATE2,SUM(IF((INDEX(INDICES,,1)=A21)*(INDEX(INDICES,5,)=indice_compo_max2),INDEX(INDICES,,),0)),"")</f>
        <v>128</v>
      </c>
      <c r="I21" s="112"/>
      <c r="L21" s="93" t="str">
        <v>Travail activités spécialisées</v>
      </c>
      <c r="M21" s="113">
        <v>0</v>
      </c>
      <c r="N21" s="112" t="str">
        <v>Frais divers</v>
      </c>
      <c r="O21" s="112">
        <v>0.01</v>
      </c>
      <c r="P21" s="112"/>
      <c r="Q21" s="121" t="str">
        <v>001711943</v>
      </c>
      <c r="R21" s="93" t="str">
        <v>Transports routiers</v>
      </c>
      <c r="S21" s="124">
        <v>0.10890151515151514</v>
      </c>
      <c r="T21" s="112"/>
      <c r="U21" s="112" t="str">
        <v>TP05b</v>
      </c>
      <c r="V21" s="93" t="str">
        <v xml:space="preserve">Travaux en souterrains avec tunnelier </v>
      </c>
      <c r="W21" s="125">
        <v>0.16022099447513827</v>
      </c>
    </row>
    <row r="22" spans="1:23" x14ac:dyDescent="0.25">
      <c r="A22" s="119">
        <f t="shared" si="0"/>
        <v>43282</v>
      </c>
      <c r="B22" s="118" cm="1">
        <f t="array" ref="B22">IF(A22&lt;=DATE2,SUM(IF((INDEX(INDEX,,1)=A22)*(INDEX(INDEX,3,)="TP01"),INDEX(INDEX,,),0)),"")</f>
        <v>109.8</v>
      </c>
      <c r="C22" s="118" cm="1">
        <f t="array" ref="C22">IF(A22&lt;=DATE2,SUM(IF((INDEX(INDEX,,1)=A22)*(INDEX(INDEX,3,)=index_choisi),INDEX(INDEX,,),0)),"")</f>
        <v>112.1</v>
      </c>
      <c r="D22" s="118" cm="1">
        <f t="array" ref="D22">IF(A22&lt;=DATE2,SUM(IF((INDEX(INDICES,,1)=A22)*(INDEX(INDICES,5,)="Matériel"),INDEX(INDICES,,),0)),"")</f>
        <v>104.6</v>
      </c>
      <c r="E22" s="118" cm="1">
        <f t="array" ref="E22">IF(A22&lt;=DATE2,SUM(IF((INDEX(INDICES,,1)=A22)*(INDEX(INDICES,5,)="Travail"),INDEX(INDICES,,),0)),"")</f>
        <v>118.7</v>
      </c>
      <c r="F22" s="118" cm="1">
        <f t="array" ref="F22">IF(A22&lt;=DATE2,SUM(IF((INDEX(INDICES,,1)=A22)*(INDEX(INDICES,5,)="GNR"),INDEX(INDICES,,),0)),"")</f>
        <v>124.33703094674891</v>
      </c>
      <c r="G22" s="118" cm="1">
        <f t="array" ref="G22">IF(A22&lt;=DATE2,SUM(IF((INDEX(INDICES,,1)=A22)*(INDEX(INDICES,5,)=indice_compo_max),INDEX(INDICES,,),0)),"")</f>
        <v>101.9</v>
      </c>
      <c r="H22" s="118" cm="1">
        <f t="array" ref="H22">IF(A22&lt;=DATE2,SUM(IF((INDEX(INDICES,,1)=A22)*(INDEX(INDICES,5,)=indice_compo_max2),INDEX(INDICES,,),0)),"")</f>
        <v>126.1</v>
      </c>
      <c r="I22" s="112"/>
      <c r="L22" s="93" t="str">
        <v>Électricité vendue aux entreprises consommatrices finales</v>
      </c>
      <c r="M22" s="113">
        <v>0.01</v>
      </c>
      <c r="N22" s="112" t="str">
        <v>Transports routiers</v>
      </c>
      <c r="O22" s="112">
        <v>0.01</v>
      </c>
      <c r="P22" s="112"/>
      <c r="Q22" s="121" t="str">
        <v>010534769</v>
      </c>
      <c r="R22" s="93" t="str">
        <v>Électricité vendue aux entreprises consommatrices finales</v>
      </c>
      <c r="S22" s="124">
        <v>0.10414746543778808</v>
      </c>
      <c r="T22" s="112"/>
      <c r="U22" s="112" t="str">
        <v>TP06a</v>
      </c>
      <c r="V22" s="93" t="str">
        <v>Grands dragages maritimes </v>
      </c>
      <c r="W22" s="125">
        <v>0.19598906107566072</v>
      </c>
    </row>
    <row r="23" spans="1:23" x14ac:dyDescent="0.25">
      <c r="A23" s="119">
        <f t="shared" si="0"/>
        <v>43313</v>
      </c>
      <c r="B23" s="118" cm="1">
        <f t="array" ref="B23">IF(A23&lt;=DATE2,SUM(IF((INDEX(INDEX,,1)=A23)*(INDEX(INDEX,3,)="TP01"),INDEX(INDEX,,),0)),"")</f>
        <v>110.2</v>
      </c>
      <c r="C23" s="118" cm="1">
        <f t="array" ref="C23">IF(A23&lt;=DATE2,SUM(IF((INDEX(INDEX,,1)=A23)*(INDEX(INDEX,3,)=index_choisi),INDEX(INDEX,,),0)),"")</f>
        <v>112.6</v>
      </c>
      <c r="D23" s="118" cm="1">
        <f t="array" ref="D23">IF(A23&lt;=DATE2,SUM(IF((INDEX(INDICES,,1)=A23)*(INDEX(INDICES,5,)="Matériel"),INDEX(INDICES,,),0)),"")</f>
        <v>104.6</v>
      </c>
      <c r="E23" s="118" cm="1">
        <f t="array" ref="E23">IF(A23&lt;=DATE2,SUM(IF((INDEX(INDICES,,1)=A23)*(INDEX(INDICES,5,)="Travail"),INDEX(INDICES,,),0)),"")</f>
        <v>119.1</v>
      </c>
      <c r="F23" s="118" cm="1">
        <f t="array" ref="F23">IF(A23&lt;=DATE2,SUM(IF((INDEX(INDICES,,1)=A23)*(INDEX(INDICES,5,)="GNR"),INDEX(INDICES,,),0)),"")</f>
        <v>123.35335190444869</v>
      </c>
      <c r="G23" s="118" cm="1">
        <f t="array" ref="G23">IF(A23&lt;=DATE2,SUM(IF((INDEX(INDICES,,1)=A23)*(INDEX(INDICES,5,)=indice_compo_max),INDEX(INDICES,,),0)),"")</f>
        <v>102.7</v>
      </c>
      <c r="H23" s="118" cm="1">
        <f t="array" ref="H23">IF(A23&lt;=DATE2,SUM(IF((INDEX(INDICES,,1)=A23)*(INDEX(INDICES,5,)=indice_compo_max2),INDEX(INDICES,,),0)),"")</f>
        <v>128</v>
      </c>
      <c r="I23" s="112"/>
      <c r="L23" s="93" t="str">
        <v>Gaz naturel</v>
      </c>
      <c r="M23" s="113">
        <v>0</v>
      </c>
      <c r="N23" s="112" t="str">
        <v>Électricité vendue aux entreprises consommatrices finales</v>
      </c>
      <c r="O23" s="112">
        <v>0.01</v>
      </c>
      <c r="P23" s="112"/>
      <c r="Q23" s="121" t="str">
        <v>010534776</v>
      </c>
      <c r="R23" s="93" t="str">
        <v>Gaz naturel</v>
      </c>
      <c r="S23" s="124">
        <v>8.8064516129032242</v>
      </c>
      <c r="T23" s="112"/>
      <c r="U23" s="112" t="str">
        <v>TP06b</v>
      </c>
      <c r="V23" s="93" t="str">
        <v>Dragages fluviaux et petits dragages maritimes</v>
      </c>
      <c r="W23" s="125">
        <v>0.12746016869728205</v>
      </c>
    </row>
    <row r="24" spans="1:23" x14ac:dyDescent="0.25">
      <c r="A24" s="119">
        <f t="shared" si="0"/>
        <v>43344</v>
      </c>
      <c r="B24" s="118" cm="1">
        <f t="array" ref="B24">IF(A24&lt;=DATE2,SUM(IF((INDEX(INDEX,,1)=A24)*(INDEX(INDEX,3,)="TP01"),INDEX(INDEX,,),0)),"")</f>
        <v>110.4</v>
      </c>
      <c r="C24" s="118" cm="1">
        <f t="array" ref="C24">IF(A24&lt;=DATE2,SUM(IF((INDEX(INDEX,,1)=A24)*(INDEX(INDEX,3,)=index_choisi),INDEX(INDEX,,),0)),"")</f>
        <v>112.9</v>
      </c>
      <c r="D24" s="118" cm="1">
        <f t="array" ref="D24">IF(A24&lt;=DATE2,SUM(IF((INDEX(INDICES,,1)=A24)*(INDEX(INDICES,5,)="Matériel"),INDEX(INDICES,,),0)),"")</f>
        <v>104.6</v>
      </c>
      <c r="E24" s="118" cm="1">
        <f t="array" ref="E24">IF(A24&lt;=DATE2,SUM(IF((INDEX(INDICES,,1)=A24)*(INDEX(INDICES,5,)="Travail"),INDEX(INDICES,,),0)),"")</f>
        <v>119.5</v>
      </c>
      <c r="F24" s="118" cm="1">
        <f t="array" ref="F24">IF(A24&lt;=DATE2,SUM(IF((INDEX(INDICES,,1)=A24)*(INDEX(INDICES,5,)="GNR"),INDEX(INDICES,,),0)),"")</f>
        <v>121.14890194811436</v>
      </c>
      <c r="G24" s="118" cm="1">
        <f t="array" ref="G24">IF(A24&lt;=DATE2,SUM(IF((INDEX(INDICES,,1)=A24)*(INDEX(INDICES,5,)=indice_compo_max),INDEX(INDICES,,),0)),"")</f>
        <v>101.8</v>
      </c>
      <c r="H24" s="118" cm="1">
        <f t="array" ref="H24">IF(A24&lt;=DATE2,SUM(IF((INDEX(INDICES,,1)=A24)*(INDEX(INDICES,5,)=indice_compo_max2),INDEX(INDICES,,),0)),"")</f>
        <v>129.1</v>
      </c>
      <c r="I24" s="112"/>
      <c r="L24" s="93" t="str">
        <v>Gazole routier HTT</v>
      </c>
      <c r="M24" s="113">
        <v>0</v>
      </c>
      <c r="N24" s="112" t="str">
        <v>GNR</v>
      </c>
      <c r="O24" s="112">
        <v>0</v>
      </c>
      <c r="P24" s="112"/>
      <c r="Q24" s="121" t="str">
        <v>Gazole routier HTT</v>
      </c>
      <c r="R24" s="93" t="str">
        <v>Gazole routier HTT</v>
      </c>
      <c r="S24" s="124">
        <v>0.32609269719374367</v>
      </c>
      <c r="T24" s="112"/>
      <c r="U24" s="112" t="str">
        <v>TP07b</v>
      </c>
      <c r="V24" s="93" t="str">
        <v>Travaux de génie civil, béton et acier pour ouvrages maritimes</v>
      </c>
      <c r="W24" s="125">
        <v>0.43304843304843321</v>
      </c>
    </row>
    <row r="25" spans="1:23" x14ac:dyDescent="0.25">
      <c r="A25" s="119">
        <f t="shared" si="0"/>
        <v>43374</v>
      </c>
      <c r="B25" s="118" cm="1">
        <f t="array" ref="B25">IF(A25&lt;=DATE2,SUM(IF((INDEX(INDEX,,1)=A25)*(INDEX(INDEX,3,)="TP01"),INDEX(INDEX,,),0)),"")</f>
        <v>110.9</v>
      </c>
      <c r="C25" s="118" cm="1">
        <f t="array" ref="C25">IF(A25&lt;=DATE2,SUM(IF((INDEX(INDEX,,1)=A25)*(INDEX(INDEX,3,)=index_choisi),INDEX(INDEX,,),0)),"")</f>
        <v>113</v>
      </c>
      <c r="D25" s="118" cm="1">
        <f t="array" ref="D25">IF(A25&lt;=DATE2,SUM(IF((INDEX(INDICES,,1)=A25)*(INDEX(INDICES,5,)="Matériel"),INDEX(INDICES,,),0)),"")</f>
        <v>104.3</v>
      </c>
      <c r="E25" s="118" cm="1">
        <f t="array" ref="E25">IF(A25&lt;=DATE2,SUM(IF((INDEX(INDICES,,1)=A25)*(INDEX(INDICES,5,)="Travail"),INDEX(INDICES,,),0)),"")</f>
        <v>119.7</v>
      </c>
      <c r="F25" s="118" cm="1">
        <f t="array" ref="F25">IF(A25&lt;=DATE2,SUM(IF((INDEX(INDICES,,1)=A25)*(INDEX(INDICES,5,)="GNR"),INDEX(INDICES,,),0)),"")</f>
        <v>117.4086120536319</v>
      </c>
      <c r="G25" s="118" cm="1">
        <f t="array" ref="G25">IF(A25&lt;=DATE2,SUM(IF((INDEX(INDICES,,1)=A25)*(INDEX(INDICES,5,)=indice_compo_max),INDEX(INDICES,,),0)),"")</f>
        <v>102.2</v>
      </c>
      <c r="H25" s="118" cm="1">
        <f t="array" ref="H25">IF(A25&lt;=DATE2,SUM(IF((INDEX(INDICES,,1)=A25)*(INDEX(INDICES,5,)=indice_compo_max2),INDEX(INDICES,,),0)),"")</f>
        <v>127.8</v>
      </c>
      <c r="I25" s="112"/>
      <c r="L25" s="93" t="str">
        <v>Tubes, tuyaux en matière plastique</v>
      </c>
      <c r="M25" s="113">
        <v>0.04</v>
      </c>
      <c r="N25" s="112" t="str">
        <v>Gazole</v>
      </c>
      <c r="O25" s="112">
        <v>0</v>
      </c>
      <c r="P25" s="112"/>
      <c r="Q25" s="121" t="str">
        <v>010534207</v>
      </c>
      <c r="R25" s="93" t="str">
        <v>Tubes, tuyaux en matière plastique</v>
      </c>
      <c r="S25" s="124">
        <v>0.37348178137651811</v>
      </c>
      <c r="T25" s="112"/>
      <c r="U25" s="112" t="str">
        <v>TP08</v>
      </c>
      <c r="V25" s="93" t="str">
        <v>Travaux d’aménagement et entretien de voirie</v>
      </c>
      <c r="W25" s="125">
        <v>0.2388201712654614</v>
      </c>
    </row>
    <row r="26" spans="1:23" x14ac:dyDescent="0.25">
      <c r="A26" s="119">
        <f t="shared" si="0"/>
        <v>43405</v>
      </c>
      <c r="B26" s="118" cm="1">
        <f t="array" ref="B26">IF(A26&lt;=DATE2,SUM(IF((INDEX(INDEX,,1)=A26)*(INDEX(INDEX,3,)="TP01"),INDEX(INDEX,,),0)),"")</f>
        <v>111.1</v>
      </c>
      <c r="C26" s="118" cm="1">
        <f t="array" ref="C26">IF(A26&lt;=DATE2,SUM(IF((INDEX(INDEX,,1)=A26)*(INDEX(INDEX,3,)=index_choisi),INDEX(INDEX,,),0)),"")</f>
        <v>113.1</v>
      </c>
      <c r="D26" s="118" cm="1">
        <f t="array" ref="D26">IF(A26&lt;=DATE2,SUM(IF((INDEX(INDICES,,1)=A26)*(INDEX(INDICES,5,)="Matériel"),INDEX(INDICES,,),0)),"")</f>
        <v>104.3</v>
      </c>
      <c r="E26" s="118" cm="1">
        <f t="array" ref="E26">IF(A26&lt;=DATE2,SUM(IF((INDEX(INDICES,,1)=A26)*(INDEX(INDICES,5,)="Travail"),INDEX(INDICES,,),0)),"")</f>
        <v>120</v>
      </c>
      <c r="F26" s="118" cm="1">
        <f t="array" ref="F26">IF(A26&lt;=DATE2,SUM(IF((INDEX(INDICES,,1)=A26)*(INDEX(INDICES,5,)="GNR"),INDEX(INDICES,,),0)),"")</f>
        <v>123.941682676648</v>
      </c>
      <c r="G26" s="118" cm="1">
        <f t="array" ref="G26">IF(A26&lt;=DATE2,SUM(IF((INDEX(INDICES,,1)=A26)*(INDEX(INDICES,5,)=indice_compo_max),INDEX(INDICES,,),0)),"")</f>
        <v>102.4</v>
      </c>
      <c r="H26" s="118" cm="1">
        <f t="array" ref="H26">IF(A26&lt;=DATE2,SUM(IF((INDEX(INDICES,,1)=A26)*(INDEX(INDICES,5,)=indice_compo_max2),INDEX(INDICES,,),0)),"")</f>
        <v>126.6</v>
      </c>
      <c r="I26" s="112"/>
      <c r="L26" s="93" t="str">
        <v>Ensemble des produits du sciage</v>
      </c>
      <c r="M26" s="113">
        <v>0.02</v>
      </c>
      <c r="N26" s="112" t="str">
        <v>Travail activités spécialisées</v>
      </c>
      <c r="O26" s="112">
        <v>0</v>
      </c>
      <c r="P26" s="112"/>
      <c r="Q26" s="121" t="str">
        <v>010534575</v>
      </c>
      <c r="R26" s="93" t="str">
        <v>Ensemble des produits du sciage</v>
      </c>
      <c r="S26" s="124">
        <v>0.5093984962406013</v>
      </c>
      <c r="T26" s="112"/>
      <c r="U26" s="112" t="str">
        <v>TP09</v>
      </c>
      <c r="V26" s="93" t="str">
        <v>Fabrication et mise en œuvre d’enrobés </v>
      </c>
      <c r="W26" s="125">
        <v>0.43694141012909626</v>
      </c>
    </row>
    <row r="27" spans="1:23" x14ac:dyDescent="0.25">
      <c r="A27" s="119">
        <f t="shared" si="0"/>
        <v>43435</v>
      </c>
      <c r="B27" s="118" cm="1">
        <f t="array" ref="B27">IF(A27&lt;=DATE2,SUM(IF((INDEX(INDEX,,1)=A27)*(INDEX(INDEX,3,)="TP01"),INDEX(INDEX,,),0)),"")</f>
        <v>110</v>
      </c>
      <c r="C27" s="118" cm="1">
        <f t="array" ref="C27">IF(A27&lt;=DATE2,SUM(IF((INDEX(INDEX,,1)=A27)*(INDEX(INDEX,3,)=index_choisi),INDEX(INDEX,,),0)),"")</f>
        <v>113.2</v>
      </c>
      <c r="D27" s="118" cm="1">
        <f t="array" ref="D27">IF(A27&lt;=DATE2,SUM(IF((INDEX(INDICES,,1)=A27)*(INDEX(INDICES,5,)="Matériel"),INDEX(INDICES,,),0)),"")</f>
        <v>104.1</v>
      </c>
      <c r="E27" s="118" cm="1">
        <f t="array" ref="E27">IF(A27&lt;=DATE2,SUM(IF((INDEX(INDICES,,1)=A27)*(INDEX(INDICES,5,)="Travail"),INDEX(INDICES,,),0)),"")</f>
        <v>120.2</v>
      </c>
      <c r="F27" s="118" cm="1">
        <f t="array" ref="F27">IF(A27&lt;=DATE2,SUM(IF((INDEX(INDICES,,1)=A27)*(INDEX(INDICES,5,)="GNR"),INDEX(INDICES,,),0)),"")</f>
        <v>132.02255445150143</v>
      </c>
      <c r="G27" s="118" cm="1">
        <f t="array" ref="G27">IF(A27&lt;=DATE2,SUM(IF((INDEX(INDICES,,1)=A27)*(INDEX(INDICES,5,)=indice_compo_max),INDEX(INDICES,,),0)),"")</f>
        <v>102.2</v>
      </c>
      <c r="H27" s="118" cm="1">
        <f t="array" ref="H27">IF(A27&lt;=DATE2,SUM(IF((INDEX(INDICES,,1)=A27)*(INDEX(INDICES,5,)=indice_compo_max2),INDEX(INDICES,,),0)),"")</f>
        <v>125.5</v>
      </c>
      <c r="I27" s="112"/>
      <c r="L27" s="93" t="str">
        <v>Béton prêt à l'emploi</v>
      </c>
      <c r="M27" s="113">
        <v>0.12</v>
      </c>
      <c r="N27" s="112" t="str">
        <v>Gaz naturel</v>
      </c>
      <c r="O27" s="112">
        <v>0</v>
      </c>
      <c r="P27" s="112"/>
      <c r="Q27" s="121" t="str">
        <v>010534646</v>
      </c>
      <c r="R27" s="93" t="str">
        <v>Béton prêt à l'emploi</v>
      </c>
      <c r="S27" s="124">
        <v>0.15060240963855431</v>
      </c>
      <c r="T27" s="112"/>
      <c r="U27" s="112" t="str">
        <v>TP10a</v>
      </c>
      <c r="V27" s="93" t="str">
        <v xml:space="preserve">Canalisations, assainissement et adduction d’eau avec fourniture de tuyaux </v>
      </c>
      <c r="W27" s="125">
        <v>0.15662650602409633</v>
      </c>
    </row>
    <row r="28" spans="1:23" x14ac:dyDescent="0.25">
      <c r="A28" s="119">
        <f t="shared" si="0"/>
        <v>43466</v>
      </c>
      <c r="B28" s="118" cm="1">
        <f t="array" ref="B28">IF(A28&lt;=DATE2,SUM(IF((INDEX(INDEX,,1)=A28)*(INDEX(INDEX,3,)="TP01"),INDEX(INDEX,,),0)),"")</f>
        <v>109.7</v>
      </c>
      <c r="C28" s="118" cm="1">
        <f t="array" ref="C28">IF(A28&lt;=DATE2,SUM(IF((INDEX(INDEX,,1)=A28)*(INDEX(INDEX,3,)=index_choisi),INDEX(INDEX,,),0)),"")</f>
        <v>113.5</v>
      </c>
      <c r="D28" s="118" cm="1">
        <f t="array" ref="D28">IF(A28&lt;=DATE2,SUM(IF((INDEX(INDICES,,1)=A28)*(INDEX(INDICES,5,)="Matériel"),INDEX(INDICES,,),0)),"")</f>
        <v>104.7</v>
      </c>
      <c r="E28" s="118" cm="1">
        <f t="array" ref="E28">IF(A28&lt;=DATE2,SUM(IF((INDEX(INDICES,,1)=A28)*(INDEX(INDICES,5,)="Travail"),INDEX(INDICES,,),0)),"")</f>
        <v>120.8</v>
      </c>
      <c r="F28" s="118" cm="1">
        <f t="array" ref="F28">IF(A28&lt;=DATE2,SUM(IF((INDEX(INDICES,,1)=A28)*(INDEX(INDICES,5,)="GNR"),INDEX(INDICES,,),0)),"")</f>
        <v>131.91086024299761</v>
      </c>
      <c r="G28" s="118" cm="1">
        <f t="array" ref="G28">IF(A28&lt;=DATE2,SUM(IF((INDEX(INDICES,,1)=A28)*(INDEX(INDICES,5,)=indice_compo_max),INDEX(INDICES,,),0)),"")</f>
        <v>103.8</v>
      </c>
      <c r="H28" s="118" cm="1">
        <f t="array" ref="H28">IF(A28&lt;=DATE2,SUM(IF((INDEX(INDICES,,1)=A28)*(INDEX(INDICES,5,)=indice_compo_max2),INDEX(INDICES,,),0)),"")</f>
        <v>124.6</v>
      </c>
      <c r="I28" s="112"/>
      <c r="L28" s="93" t="str">
        <v>Barres crénelées ou nervurées pour béton armé</v>
      </c>
      <c r="M28" s="113">
        <v>0.09</v>
      </c>
      <c r="N28" s="112" t="str">
        <v>Gazole routier HTT</v>
      </c>
      <c r="O28" s="112">
        <v>0</v>
      </c>
      <c r="P28" s="112"/>
      <c r="Q28" s="121" t="str">
        <v>010546545</v>
      </c>
      <c r="R28" s="93" t="str">
        <v>Barres crénelées ou nervurées pour béton armé</v>
      </c>
      <c r="S28" s="124">
        <v>0.79342723004694826</v>
      </c>
      <c r="T28" s="112"/>
      <c r="U28" s="112" t="str">
        <v>TP10b</v>
      </c>
      <c r="V28" s="93" t="str">
        <v>Canalisations sans fourniture de tuyaux</v>
      </c>
      <c r="W28" s="125">
        <v>0.10899182561307907</v>
      </c>
    </row>
    <row r="29" spans="1:23" x14ac:dyDescent="0.25">
      <c r="A29" s="119">
        <f t="shared" si="0"/>
        <v>43497</v>
      </c>
      <c r="B29" s="118" cm="1">
        <f t="array" ref="B29">IF(A29&lt;=DATE2,SUM(IF((INDEX(INDEX,,1)=A29)*(INDEX(INDEX,3,)="TP01"),INDEX(INDEX,,),0)),"")</f>
        <v>110.3</v>
      </c>
      <c r="C29" s="118" cm="1">
        <f t="array" ref="C29">IF(A29&lt;=DATE2,SUM(IF((INDEX(INDEX,,1)=A29)*(INDEX(INDEX,3,)=index_choisi),INDEX(INDEX,,),0)),"")</f>
        <v>113.6</v>
      </c>
      <c r="D29" s="118" cm="1">
        <f t="array" ref="D29">IF(A29&lt;=DATE2,SUM(IF((INDEX(INDICES,,1)=A29)*(INDEX(INDICES,5,)="Matériel"),INDEX(INDICES,,),0)),"")</f>
        <v>104.7</v>
      </c>
      <c r="E29" s="118" cm="1">
        <f t="array" ref="E29">IF(A29&lt;=DATE2,SUM(IF((INDEX(INDICES,,1)=A29)*(INDEX(INDICES,5,)="Travail"),INDEX(INDICES,,),0)),"")</f>
        <v>121.4</v>
      </c>
      <c r="F29" s="118" cm="1">
        <f t="array" ref="F29">IF(A29&lt;=DATE2,SUM(IF((INDEX(INDICES,,1)=A29)*(INDEX(INDICES,5,)="GNR"),INDEX(INDICES,,),0)),"")</f>
        <v>127.28051984263119</v>
      </c>
      <c r="G29" s="118" cm="1">
        <f t="array" ref="G29">IF(A29&lt;=DATE2,SUM(IF((INDEX(INDICES,,1)=A29)*(INDEX(INDICES,5,)=indice_compo_max),INDEX(INDICES,,),0)),"")</f>
        <v>104.2</v>
      </c>
      <c r="H29" s="118" cm="1">
        <f t="array" ref="H29">IF(A29&lt;=DATE2,SUM(IF((INDEX(INDICES,,1)=A29)*(INDEX(INDICES,5,)=indice_compo_max2),INDEX(INDICES,,),0)),"")</f>
        <v>123.8</v>
      </c>
      <c r="I29" s="112"/>
      <c r="L29" s="93" t="str">
        <v>Sables et granulats</v>
      </c>
      <c r="M29" s="113">
        <v>0</v>
      </c>
      <c r="N29" s="112" t="str">
        <v>Sables et granulats</v>
      </c>
      <c r="O29" s="112">
        <v>0</v>
      </c>
      <c r="P29" s="112"/>
      <c r="Q29" s="121" t="str">
        <v>010536067</v>
      </c>
      <c r="R29" s="93" t="str">
        <v>Sables et granulats</v>
      </c>
      <c r="S29" s="124">
        <v>0.1202020202020202</v>
      </c>
      <c r="T29" s="112"/>
      <c r="U29" s="112" t="str">
        <v>TP10c</v>
      </c>
      <c r="V29" s="93" t="str">
        <v>Réhabilitation de canalisations non visitables</v>
      </c>
      <c r="W29" s="125">
        <v>0.23974475843208753</v>
      </c>
    </row>
    <row r="30" spans="1:23" x14ac:dyDescent="0.25">
      <c r="A30" s="119">
        <f t="shared" si="0"/>
        <v>43525</v>
      </c>
      <c r="B30" s="118" cm="1">
        <f t="array" ref="B30">IF(A30&lt;=DATE2,SUM(IF((INDEX(INDEX,,1)=A30)*(INDEX(INDEX,3,)="TP01"),INDEX(INDEX,,),0)),"")</f>
        <v>111.3</v>
      </c>
      <c r="C30" s="118" cm="1">
        <f t="array" ref="C30">IF(A30&lt;=DATE2,SUM(IF((INDEX(INDEX,,1)=A30)*(INDEX(INDEX,3,)=index_choisi),INDEX(INDEX,,),0)),"")</f>
        <v>114.1</v>
      </c>
      <c r="D30" s="118" cm="1">
        <f t="array" ref="D30">IF(A30&lt;=DATE2,SUM(IF((INDEX(INDICES,,1)=A30)*(INDEX(INDICES,5,)="Matériel"),INDEX(INDICES,,),0)),"")</f>
        <v>105.7</v>
      </c>
      <c r="E30" s="118" cm="1">
        <f t="array" ref="E30">IF(A30&lt;=DATE2,SUM(IF((INDEX(INDICES,,1)=A30)*(INDEX(INDICES,5,)="Travail"),INDEX(INDICES,,),0)),"")</f>
        <v>122</v>
      </c>
      <c r="F30" s="118" cm="1">
        <f t="array" ref="F30">IF(A30&lt;=DATE2,SUM(IF((INDEX(INDICES,,1)=A30)*(INDEX(INDICES,5,)="GNR"),INDEX(INDICES,,),0)),"")</f>
        <v>126.24990834592971</v>
      </c>
      <c r="G30" s="118" cm="1">
        <f t="array" ref="G30">IF(A30&lt;=DATE2,SUM(IF((INDEX(INDICES,,1)=A30)*(INDEX(INDICES,5,)=indice_compo_max),INDEX(INDICES,,),0)),"")</f>
        <v>104.3</v>
      </c>
      <c r="H30" s="118" cm="1">
        <f t="array" ref="H30">IF(A30&lt;=DATE2,SUM(IF((INDEX(INDICES,,1)=A30)*(INDEX(INDICES,5,)=indice_compo_max2),INDEX(INDICES,,),0)),"")</f>
        <v>123.9</v>
      </c>
      <c r="I30" s="112"/>
      <c r="L30" s="93" t="str">
        <v>Plaques, feuilles, tubes et profilés en matières plastiques</v>
      </c>
      <c r="M30" s="113">
        <v>0</v>
      </c>
      <c r="N30" s="112" t="str">
        <v>Plaques, feuilles, tubes et profilés en matières plastiques</v>
      </c>
      <c r="O30" s="112">
        <v>0</v>
      </c>
      <c r="P30" s="112"/>
      <c r="Q30" s="121" t="str">
        <v>010534625</v>
      </c>
      <c r="R30" s="93" t="str">
        <v>Plaques, feuilles, tubes et profilés en matières plastiques</v>
      </c>
      <c r="S30" s="124">
        <v>0.35079051383399196</v>
      </c>
      <c r="T30" s="112"/>
      <c r="U30" s="112" t="str">
        <v>TP10d</v>
      </c>
      <c r="V30" s="93" t="str">
        <v>Réseaux de chauffage et de froid avec fourniture de tuyaux</v>
      </c>
      <c r="W30" s="125" t="e">
        <v>#N/A</v>
      </c>
    </row>
    <row r="31" spans="1:23" x14ac:dyDescent="0.25">
      <c r="A31" s="119">
        <f t="shared" si="0"/>
        <v>43556</v>
      </c>
      <c r="B31" s="118" cm="1">
        <f t="array" ref="B31">IF(A31&lt;=DATE2,SUM(IF((INDEX(INDEX,,1)=A31)*(INDEX(INDEX,3,)="TP01"),INDEX(INDEX,,),0)),"")</f>
        <v>111.6</v>
      </c>
      <c r="C31" s="118" cm="1">
        <f t="array" ref="C31">IF(A31&lt;=DATE2,SUM(IF((INDEX(INDEX,,1)=A31)*(INDEX(INDEX,3,)=index_choisi),INDEX(INDEX,,),0)),"")</f>
        <v>114.1</v>
      </c>
      <c r="D31" s="118" cm="1">
        <f t="array" ref="D31">IF(A31&lt;=DATE2,SUM(IF((INDEX(INDICES,,1)=A31)*(INDEX(INDICES,5,)="Matériel"),INDEX(INDICES,,),0)),"")</f>
        <v>105.3</v>
      </c>
      <c r="E31" s="118" cm="1">
        <f t="array" ref="E31">IF(A31&lt;=DATE2,SUM(IF((INDEX(INDICES,,1)=A31)*(INDEX(INDICES,5,)="Travail"),INDEX(INDICES,,),0)),"")</f>
        <v>122.3</v>
      </c>
      <c r="F31" s="118" cm="1">
        <f t="array" ref="F31">IF(A31&lt;=DATE2,SUM(IF((INDEX(INDICES,,1)=A31)*(INDEX(INDICES,5,)="GNR"),INDEX(INDICES,,),0)),"")</f>
        <v>123.94168267664801</v>
      </c>
      <c r="G31" s="118" cm="1">
        <f t="array" ref="G31">IF(A31&lt;=DATE2,SUM(IF((INDEX(INDICES,,1)=A31)*(INDEX(INDICES,5,)=indice_compo_max),INDEX(INDICES,,),0)),"")</f>
        <v>104.1</v>
      </c>
      <c r="H31" s="118" cm="1">
        <f t="array" ref="H31">IF(A31&lt;=DATE2,SUM(IF((INDEX(INDICES,,1)=A31)*(INDEX(INDICES,5,)=indice_compo_max2),INDEX(INDICES,,),0)),"")</f>
        <v>123.8</v>
      </c>
      <c r="I31" s="112"/>
      <c r="L31" s="93" t="str">
        <v>Ciment, chaux et plâtre</v>
      </c>
      <c r="M31" s="113">
        <v>0</v>
      </c>
      <c r="N31" s="112" t="str">
        <v>Ciment, chaux et plâtre</v>
      </c>
      <c r="O31" s="112">
        <v>0</v>
      </c>
      <c r="P31" s="112"/>
      <c r="Q31" s="121" t="str">
        <v>010534642</v>
      </c>
      <c r="R31" s="93" t="str">
        <v>Ciment, chaux et plâtre</v>
      </c>
      <c r="S31" s="124">
        <v>0.3296921549155909</v>
      </c>
      <c r="T31" s="112"/>
      <c r="U31" s="112" t="str">
        <v>TP11</v>
      </c>
      <c r="V31" s="93" t="str">
        <v>Canalisations grandes distances de transport / transfert  avec fourniture de tuyaux</v>
      </c>
      <c r="W31" s="125">
        <v>0.2448780487804878</v>
      </c>
    </row>
    <row r="32" spans="1:23" x14ac:dyDescent="0.25">
      <c r="A32" s="119">
        <f t="shared" si="0"/>
        <v>43586</v>
      </c>
      <c r="B32" s="118" cm="1">
        <f t="array" ref="B32">IF(A32&lt;=DATE2,SUM(IF((INDEX(INDEX,,1)=A32)*(INDEX(INDEX,3,)="TP01"),INDEX(INDEX,,),0)),"")</f>
        <v>111.8</v>
      </c>
      <c r="C32" s="118" cm="1">
        <f t="array" ref="C32">IF(A32&lt;=DATE2,SUM(IF((INDEX(INDEX,,1)=A32)*(INDEX(INDEX,3,)=index_choisi),INDEX(INDEX,,),0)),"")</f>
        <v>114.1</v>
      </c>
      <c r="D32" s="118" cm="1">
        <f t="array" ref="D32">IF(A32&lt;=DATE2,SUM(IF((INDEX(INDICES,,1)=A32)*(INDEX(INDICES,5,)="Matériel"),INDEX(INDICES,,),0)),"")</f>
        <v>105</v>
      </c>
      <c r="E32" s="118" cm="1">
        <f t="array" ref="E32">IF(A32&lt;=DATE2,SUM(IF((INDEX(INDICES,,1)=A32)*(INDEX(INDICES,5,)="Travail"),INDEX(INDICES,,),0)),"")</f>
        <v>122.5</v>
      </c>
      <c r="F32" s="118" cm="1">
        <f t="array" ref="F32">IF(A32&lt;=DATE2,SUM(IF((INDEX(INDICES,,1)=A32)*(INDEX(INDICES,5,)="GNR"),INDEX(INDICES,,),0)),"")</f>
        <v>123.4</v>
      </c>
      <c r="G32" s="118" cm="1">
        <f t="array" ref="G32">IF(A32&lt;=DATE2,SUM(IF((INDEX(INDICES,,1)=A32)*(INDEX(INDICES,5,)=indice_compo_max),INDEX(INDICES,,),0)),"")</f>
        <v>104.9</v>
      </c>
      <c r="H32" s="118" cm="1">
        <f t="array" ref="H32">IF(A32&lt;=DATE2,SUM(IF((INDEX(INDICES,,1)=A32)*(INDEX(INDICES,5,)=indice_compo_max2),INDEX(INDICES,,),0)),"")</f>
        <v>123</v>
      </c>
      <c r="I32" s="112"/>
      <c r="L32" s="93" t="str">
        <v>Autres produits chimiques</v>
      </c>
      <c r="M32" s="113">
        <v>0</v>
      </c>
      <c r="N32" s="112" t="str">
        <v>Autres produits chimiques</v>
      </c>
      <c r="O32" s="112">
        <v>0</v>
      </c>
      <c r="P32" s="112"/>
      <c r="Q32" s="121" t="str">
        <v>010534613</v>
      </c>
      <c r="R32" s="93" t="str">
        <v>Autres produits chimiques</v>
      </c>
      <c r="S32" s="124">
        <v>0.67402206619859584</v>
      </c>
      <c r="T32" s="112"/>
      <c r="U32" s="112" t="str">
        <v>TP12a</v>
      </c>
      <c r="V32" s="93" t="str">
        <v>Réseaux d'énergie et de communication</v>
      </c>
      <c r="W32" s="125">
        <v>0.13027522935779823</v>
      </c>
    </row>
    <row r="33" spans="1:23" x14ac:dyDescent="0.25">
      <c r="A33" s="119">
        <f t="shared" si="0"/>
        <v>43617</v>
      </c>
      <c r="B33" s="118" cm="1">
        <f t="array" ref="B33">IF(A33&lt;=DATE2,SUM(IF((INDEX(INDEX,,1)=A33)*(INDEX(INDEX,3,)="TP01"),INDEX(INDEX,,),0)),"")</f>
        <v>111.5</v>
      </c>
      <c r="C33" s="118" cm="1">
        <f t="array" ref="C33">IF(A33&lt;=DATE2,SUM(IF((INDEX(INDEX,,1)=A33)*(INDEX(INDEX,3,)=index_choisi),INDEX(INDEX,,),0)),"")</f>
        <v>114.3</v>
      </c>
      <c r="D33" s="118" cm="1">
        <f t="array" ref="D33">IF(A33&lt;=DATE2,SUM(IF((INDEX(INDICES,,1)=A33)*(INDEX(INDICES,5,)="Matériel"),INDEX(INDICES,,),0)),"")</f>
        <v>104.9</v>
      </c>
      <c r="E33" s="118" cm="1">
        <f t="array" ref="E33">IF(A33&lt;=DATE2,SUM(IF((INDEX(INDICES,,1)=A33)*(INDEX(INDICES,5,)="Travail"),INDEX(INDICES,,),0)),"")</f>
        <v>122.7</v>
      </c>
      <c r="F33" s="118" cm="1">
        <f t="array" ref="F33">IF(A33&lt;=DATE2,SUM(IF((INDEX(INDICES,,1)=A33)*(INDEX(INDICES,5,)="GNR"),INDEX(INDICES,,),0)),"")</f>
        <v>130.04056447641634</v>
      </c>
      <c r="G33" s="118" cm="1">
        <f t="array" ref="G33">IF(A33&lt;=DATE2,SUM(IF((INDEX(INDICES,,1)=A33)*(INDEX(INDICES,5,)=indice_compo_max),INDEX(INDICES,,),0)),"")</f>
        <v>105.3</v>
      </c>
      <c r="H33" s="118" cm="1">
        <f t="array" ref="H33">IF(A33&lt;=DATE2,SUM(IF((INDEX(INDICES,,1)=A33)*(INDEX(INDICES,5,)=indice_compo_max2),INDEX(INDICES,,),0)),"")</f>
        <v>122</v>
      </c>
      <c r="I33" s="112"/>
      <c r="L33" s="93" t="str">
        <v>Acier pour la construction</v>
      </c>
      <c r="M33" s="113">
        <v>0</v>
      </c>
      <c r="N33" s="112" t="str">
        <v>Acier pour la construction</v>
      </c>
      <c r="O33" s="112">
        <v>0</v>
      </c>
      <c r="P33" s="112"/>
      <c r="Q33" s="121" t="str">
        <v>010536462</v>
      </c>
      <c r="R33" s="93" t="str">
        <v>Acier pour la construction</v>
      </c>
      <c r="S33" s="124">
        <v>0.96022727272727271</v>
      </c>
      <c r="T33" s="112"/>
      <c r="U33" s="112" t="str">
        <v>TP12b</v>
      </c>
      <c r="V33" s="93" t="str">
        <v>Éclairage public -Travaux d'installation</v>
      </c>
      <c r="W33" s="125">
        <v>0.18028169014084505</v>
      </c>
    </row>
    <row r="34" spans="1:23" x14ac:dyDescent="0.25">
      <c r="A34" s="119">
        <f t="shared" si="0"/>
        <v>43647</v>
      </c>
      <c r="B34" s="118" cm="1">
        <f t="array" ref="B34">IF(A34&lt;=DATE2,SUM(IF((INDEX(INDEX,,1)=A34)*(INDEX(INDEX,3,)="TP01"),INDEX(INDEX,,),0)),"")</f>
        <v>111.5</v>
      </c>
      <c r="C34" s="118" cm="1">
        <f t="array" ref="C34">IF(A34&lt;=DATE2,SUM(IF((INDEX(INDEX,,1)=A34)*(INDEX(INDEX,3,)=index_choisi),INDEX(INDEX,,),0)),"")</f>
        <v>114.5</v>
      </c>
      <c r="D34" s="118" cm="1">
        <f t="array" ref="D34">IF(A34&lt;=DATE2,SUM(IF((INDEX(INDICES,,1)=A34)*(INDEX(INDICES,5,)="Matériel"),INDEX(INDICES,,),0)),"")</f>
        <v>105</v>
      </c>
      <c r="E34" s="118" cm="1">
        <f t="array" ref="E34">IF(A34&lt;=DATE2,SUM(IF((INDEX(INDICES,,1)=A34)*(INDEX(INDICES,5,)="Travail"),INDEX(INDICES,,),0)),"")</f>
        <v>122.9</v>
      </c>
      <c r="F34" s="118" cm="1">
        <f t="array" ref="F34">IF(A34&lt;=DATE2,SUM(IF((INDEX(INDICES,,1)=A34)*(INDEX(INDICES,5,)="GNR"),INDEX(INDICES,,),0)),"")</f>
        <v>128.32809613763226</v>
      </c>
      <c r="G34" s="118" cm="1">
        <f t="array" ref="G34">IF(A34&lt;=DATE2,SUM(IF((INDEX(INDICES,,1)=A34)*(INDEX(INDICES,5,)=indice_compo_max),INDEX(INDICES,,),0)),"")</f>
        <v>105.4</v>
      </c>
      <c r="H34" s="118" cm="1">
        <f t="array" ref="H34">IF(A34&lt;=DATE2,SUM(IF((INDEX(INDICES,,1)=A34)*(INDEX(INDICES,5,)=indice_compo_max2),INDEX(INDICES,,),0)),"")</f>
        <v>120.5</v>
      </c>
      <c r="I34" s="112"/>
      <c r="L34" s="93" t="str">
        <v>Bitume</v>
      </c>
      <c r="M34" s="113">
        <v>0</v>
      </c>
      <c r="N34" s="112" t="str">
        <v>Bitume</v>
      </c>
      <c r="O34" s="112">
        <v>0</v>
      </c>
      <c r="P34" s="112"/>
      <c r="Q34" s="121" t="str">
        <v>010534598</v>
      </c>
      <c r="R34" s="93" t="str">
        <v>Bitume</v>
      </c>
      <c r="S34" s="124">
        <v>0.72587185725871861</v>
      </c>
      <c r="T34" s="112"/>
      <c r="U34" s="112" t="str">
        <v>TP12c</v>
      </c>
      <c r="V34" s="93" t="str">
        <v>Éclairage public - Travaux  de maintenance</v>
      </c>
      <c r="W34" s="125">
        <v>7.8804347826086918E-2</v>
      </c>
    </row>
    <row r="35" spans="1:23" x14ac:dyDescent="0.25">
      <c r="A35" s="119">
        <f t="shared" si="0"/>
        <v>43678</v>
      </c>
      <c r="B35" s="118" cm="1">
        <f t="array" ref="B35">IF(A35&lt;=DATE2,SUM(IF((INDEX(INDEX,,1)=A35)*(INDEX(INDEX,3,)="TP01"),INDEX(INDEX,,),0)),"")</f>
        <v>111.5</v>
      </c>
      <c r="C35" s="118" cm="1">
        <f t="array" ref="C35">IF(A35&lt;=DATE2,SUM(IF((INDEX(INDEX,,1)=A35)*(INDEX(INDEX,3,)=index_choisi),INDEX(INDEX,,),0)),"")</f>
        <v>114.7</v>
      </c>
      <c r="D35" s="118" cm="1">
        <f t="array" ref="D35">IF(A35&lt;=DATE2,SUM(IF((INDEX(INDICES,,1)=A35)*(INDEX(INDICES,5,)="Matériel"),INDEX(INDICES,,),0)),"")</f>
        <v>105.1</v>
      </c>
      <c r="E35" s="118" cm="1">
        <f t="array" ref="E35">IF(A35&lt;=DATE2,SUM(IF((INDEX(INDICES,,1)=A35)*(INDEX(INDICES,5,)="Travail"),INDEX(INDICES,,),0)),"")</f>
        <v>123.1</v>
      </c>
      <c r="F35" s="118" cm="1">
        <f t="array" ref="F35">IF(A35&lt;=DATE2,SUM(IF((INDEX(INDICES,,1)=A35)*(INDEX(INDICES,5,)="GNR"),INDEX(INDICES,,),0)),"")</f>
        <v>130.04056447641634</v>
      </c>
      <c r="G35" s="118" cm="1">
        <f t="array" ref="G35">IF(A35&lt;=DATE2,SUM(IF((INDEX(INDICES,,1)=A35)*(INDEX(INDICES,5,)=indice_compo_max),INDEX(INDICES,,),0)),"")</f>
        <v>106.7</v>
      </c>
      <c r="H35" s="118" cm="1">
        <f t="array" ref="H35">IF(A35&lt;=DATE2,SUM(IF((INDEX(INDICES,,1)=A35)*(INDEX(INDICES,5,)=indice_compo_max2),INDEX(INDICES,,),0)),"")</f>
        <v>119.8</v>
      </c>
      <c r="I35" s="112"/>
      <c r="L35" s="93" t="str">
        <v>Produits de voierie en béton</v>
      </c>
      <c r="M35" s="113">
        <v>0</v>
      </c>
      <c r="N35" s="112" t="str">
        <v>Produits de voierie en béton</v>
      </c>
      <c r="O35" s="112">
        <v>0</v>
      </c>
      <c r="P35" s="112"/>
      <c r="Q35" s="121" t="str">
        <v>010534252</v>
      </c>
      <c r="R35" s="93" t="str">
        <v>Produits de voierie en béton</v>
      </c>
      <c r="S35" s="124">
        <v>0.22381930184804921</v>
      </c>
      <c r="T35" s="112"/>
      <c r="U35" s="112" t="str">
        <v>TP12d</v>
      </c>
      <c r="V35" s="93" t="str">
        <v>Réseaux de communication en fibre optique</v>
      </c>
      <c r="W35" s="125">
        <v>7.6714801444043301E-2</v>
      </c>
    </row>
    <row r="36" spans="1:23" x14ac:dyDescent="0.25">
      <c r="A36" s="119">
        <f t="shared" si="0"/>
        <v>43709</v>
      </c>
      <c r="B36" s="118" cm="1">
        <f t="array" ref="B36">IF(A36&lt;=DATE2,SUM(IF((INDEX(INDEX,,1)=A36)*(INDEX(INDEX,3,)="TP01"),INDEX(INDEX,,),0)),"")</f>
        <v>111.2</v>
      </c>
      <c r="C36" s="118" cm="1">
        <f t="array" ref="C36">IF(A36&lt;=DATE2,SUM(IF((INDEX(INDEX,,1)=A36)*(INDEX(INDEX,3,)=index_choisi),INDEX(INDEX,,),0)),"")</f>
        <v>114.6</v>
      </c>
      <c r="D36" s="118" cm="1">
        <f t="array" ref="D36">IF(A36&lt;=DATE2,SUM(IF((INDEX(INDICES,,1)=A36)*(INDEX(INDICES,5,)="Matériel"),INDEX(INDICES,,),0)),"")</f>
        <v>105.7</v>
      </c>
      <c r="E36" s="118" cm="1">
        <f t="array" ref="E36">IF(A36&lt;=DATE2,SUM(IF((INDEX(INDICES,,1)=A36)*(INDEX(INDICES,5,)="Travail"),INDEX(INDICES,,),0)),"")</f>
        <v>123.3</v>
      </c>
      <c r="F36" s="118" cm="1">
        <f t="array" ref="F36">IF(A36&lt;=DATE2,SUM(IF((INDEX(INDICES,,1)=A36)*(INDEX(INDICES,5,)="GNR"),INDEX(INDICES,,),0)),"")</f>
        <v>126.45469327430915</v>
      </c>
      <c r="G36" s="118" cm="1">
        <f t="array" ref="G36">IF(A36&lt;=DATE2,SUM(IF((INDEX(INDICES,,1)=A36)*(INDEX(INDICES,5,)=indice_compo_max),INDEX(INDICES,,),0)),"")</f>
        <v>105.2</v>
      </c>
      <c r="H36" s="118" cm="1">
        <f t="array" ref="H36">IF(A36&lt;=DATE2,SUM(IF((INDEX(INDICES,,1)=A36)*(INDEX(INDICES,5,)=indice_compo_max2),INDEX(INDICES,,),0)),"")</f>
        <v>118.3</v>
      </c>
      <c r="I36" s="112"/>
      <c r="L36" s="93" t="str">
        <v>Mortiers et bétons secs</v>
      </c>
      <c r="M36" s="113">
        <v>0</v>
      </c>
      <c r="N36" s="112" t="str">
        <v>Mortiers et bétons secs</v>
      </c>
      <c r="O36" s="112">
        <v>0</v>
      </c>
      <c r="P36" s="112"/>
      <c r="Q36" s="121" t="str">
        <v>010534647</v>
      </c>
      <c r="R36" s="93" t="str">
        <v>Mortiers et bétons secs</v>
      </c>
      <c r="S36" s="124">
        <v>0.14902363823227138</v>
      </c>
      <c r="T36" s="112"/>
      <c r="U36" s="112" t="str">
        <v>TP13</v>
      </c>
      <c r="V36" s="93" t="str">
        <v xml:space="preserve">Charpentes et ouvrages d’art métalliques </v>
      </c>
      <c r="W36" s="125">
        <v>0.29797047970479684</v>
      </c>
    </row>
    <row r="37" spans="1:23" x14ac:dyDescent="0.25">
      <c r="A37" s="119">
        <f t="shared" si="0"/>
        <v>43739</v>
      </c>
      <c r="B37" s="118" cm="1">
        <f t="array" ref="B37">IF(A37&lt;=DATE2,SUM(IF((INDEX(INDEX,,1)=A37)*(INDEX(INDEX,3,)="TP01"),INDEX(INDEX,,),0)),"")</f>
        <v>111.2</v>
      </c>
      <c r="C37" s="118" cm="1">
        <f t="array" ref="C37">IF(A37&lt;=DATE2,SUM(IF((INDEX(INDEX,,1)=A37)*(INDEX(INDEX,3,)=index_choisi),INDEX(INDEX,,),0)),"")</f>
        <v>114.2</v>
      </c>
      <c r="D37" s="118" cm="1">
        <f t="array" ref="D37">IF(A37&lt;=DATE2,SUM(IF((INDEX(INDICES,,1)=A37)*(INDEX(INDICES,5,)="Matériel"),INDEX(INDICES,,),0)),"")</f>
        <v>105.6</v>
      </c>
      <c r="E37" s="118" cm="1">
        <f t="array" ref="E37">IF(A37&lt;=DATE2,SUM(IF((INDEX(INDICES,,1)=A37)*(INDEX(INDICES,5,)="Travail"),INDEX(INDICES,,),0)),"")</f>
        <v>123.5</v>
      </c>
      <c r="F37" s="118" cm="1">
        <f t="array" ref="F37">IF(A37&lt;=DATE2,SUM(IF((INDEX(INDICES,,1)=A37)*(INDEX(INDICES,5,)="GNR"),INDEX(INDICES,,),0)),"")</f>
        <v>127.38450719544376</v>
      </c>
      <c r="G37" s="118" cm="1">
        <f t="array" ref="G37">IF(A37&lt;=DATE2,SUM(IF((INDEX(INDICES,,1)=A37)*(INDEX(INDICES,5,)=indice_compo_max),INDEX(INDICES,,),0)),"")</f>
        <v>104.7</v>
      </c>
      <c r="H37" s="118" cm="1">
        <f t="array" ref="H37">IF(A37&lt;=DATE2,SUM(IF((INDEX(INDICES,,1)=A37)*(INDEX(INDICES,5,)=indice_compo_max2),INDEX(INDICES,,),0)),"")</f>
        <v>114.1</v>
      </c>
      <c r="I37" s="112"/>
      <c r="L37" s="93" t="str">
        <v>Travaux de fonderie de fonte</v>
      </c>
      <c r="M37" s="113">
        <v>0</v>
      </c>
      <c r="N37" s="112" t="str">
        <v>Travaux de fonderie de fonte</v>
      </c>
      <c r="O37" s="112">
        <v>0</v>
      </c>
      <c r="P37" s="112"/>
      <c r="Q37" s="121" t="str">
        <v>010534662</v>
      </c>
      <c r="R37" s="93" t="str">
        <v>Travaux de fonderie de fonte</v>
      </c>
      <c r="S37" s="124">
        <v>0.38193688792165381</v>
      </c>
      <c r="T37" s="112"/>
      <c r="U37" s="112" t="str">
        <v>TP14</v>
      </c>
      <c r="V37" s="93" t="str">
        <v>Travaux immergés par scaphandriers</v>
      </c>
      <c r="W37" s="125">
        <v>9.8920863309352569E-2</v>
      </c>
    </row>
    <row r="38" spans="1:23" x14ac:dyDescent="0.25">
      <c r="A38" s="119">
        <f t="shared" si="0"/>
        <v>43770</v>
      </c>
      <c r="B38" s="118" cm="1">
        <f t="array" ref="B38">IF(A38&lt;=DATE2,SUM(IF((INDEX(INDEX,,1)=A38)*(INDEX(INDEX,3,)="TP01"),INDEX(INDEX,,),0)),"")</f>
        <v>110.5</v>
      </c>
      <c r="C38" s="118" cm="1">
        <f t="array" ref="C38">IF(A38&lt;=DATE2,SUM(IF((INDEX(INDEX,,1)=A38)*(INDEX(INDEX,3,)=index_choisi),INDEX(INDEX,,),0)),"")</f>
        <v>114.2</v>
      </c>
      <c r="D38" s="118" cm="1">
        <f t="array" ref="D38">IF(A38&lt;=DATE2,SUM(IF((INDEX(INDICES,,1)=A38)*(INDEX(INDICES,5,)="Matériel"),INDEX(INDICES,,),0)),"")</f>
        <v>105.1</v>
      </c>
      <c r="E38" s="118" cm="1">
        <f t="array" ref="E38">IF(A38&lt;=DATE2,SUM(IF((INDEX(INDICES,,1)=A38)*(INDEX(INDICES,5,)="Travail"),INDEX(INDICES,,),0)),"")</f>
        <v>123.7</v>
      </c>
      <c r="F38" s="118" cm="1">
        <f t="array" ref="F38">IF(A38&lt;=DATE2,SUM(IF((INDEX(INDICES,,1)=A38)*(INDEX(INDICES,5,)="GNR"),INDEX(INDICES,,),0)),"")</f>
        <v>127.28051984263115</v>
      </c>
      <c r="G38" s="118" cm="1">
        <f t="array" ref="G38">IF(A38&lt;=DATE2,SUM(IF((INDEX(INDICES,,1)=A38)*(INDEX(INDICES,5,)=indice_compo_max),INDEX(INDICES,,),0)),"")</f>
        <v>104.5</v>
      </c>
      <c r="H38" s="118" cm="1">
        <f t="array" ref="H38">IF(A38&lt;=DATE2,SUM(IF((INDEX(INDICES,,1)=A38)*(INDEX(INDICES,5,)=indice_compo_max2),INDEX(INDICES,,),0)),"")</f>
        <v>111.3</v>
      </c>
      <c r="I38" s="112"/>
      <c r="J38" s="112"/>
      <c r="L38" s="93" t="str">
        <v>Tuiles, briques et produits de construction en terre cuite</v>
      </c>
      <c r="M38" s="113">
        <v>0</v>
      </c>
      <c r="N38" s="112" t="str">
        <v>Tuiles, briques et produits de construction en terre cuite</v>
      </c>
      <c r="O38" s="112">
        <v>0</v>
      </c>
      <c r="P38" s="112"/>
      <c r="Q38" s="121" t="str">
        <v>010534638</v>
      </c>
      <c r="R38" s="93" t="str">
        <v>Tuiles, briques et produits de construction en terre cuite</v>
      </c>
      <c r="S38" s="124">
        <v>0.32934131736526928</v>
      </c>
      <c r="T38" s="112"/>
      <c r="U38" s="112"/>
    </row>
    <row r="39" spans="1:23" x14ac:dyDescent="0.25">
      <c r="A39" s="119">
        <f t="shared" si="0"/>
        <v>43800</v>
      </c>
      <c r="B39" s="118" cm="1">
        <f t="array" ref="B39">IF(A39&lt;=DATE2,SUM(IF((INDEX(INDEX,,1)=A39)*(INDEX(INDEX,3,)="TP01"),INDEX(INDEX,,),0)),"")</f>
        <v>110.4</v>
      </c>
      <c r="C39" s="118" cm="1">
        <f t="array" ref="C39">IF(A39&lt;=DATE2,SUM(IF((INDEX(INDEX,,1)=A39)*(INDEX(INDEX,3,)=index_choisi),INDEX(INDEX,,),0)),"")</f>
        <v>114.3</v>
      </c>
      <c r="D39" s="118" cm="1">
        <f t="array" ref="D39">IF(A39&lt;=DATE2,SUM(IF((INDEX(INDICES,,1)=A39)*(INDEX(INDICES,5,)="Matériel"),INDEX(INDICES,,),0)),"")</f>
        <v>104.6</v>
      </c>
      <c r="E39" s="118" cm="1">
        <f t="array" ref="E39">IF(A39&lt;=DATE2,SUM(IF((INDEX(INDICES,,1)=A39)*(INDEX(INDICES,5,)="Travail"),INDEX(INDICES,,),0)),"")</f>
        <v>123.9</v>
      </c>
      <c r="F39" s="118" cm="1">
        <f t="array" ref="F39">IF(A39&lt;=DATE2,SUM(IF((INDEX(INDICES,,1)=A39)*(INDEX(INDICES,5,)="GNR"),INDEX(INDICES,,),0)),"")</f>
        <v>125.63951394619112</v>
      </c>
      <c r="G39" s="118" cm="1">
        <f t="array" ref="G39">IF(A39&lt;=DATE2,SUM(IF((INDEX(INDICES,,1)=A39)*(INDEX(INDICES,5,)=indice_compo_max),INDEX(INDICES,,),0)),"")</f>
        <v>104.8</v>
      </c>
      <c r="H39" s="118" cm="1">
        <f t="array" ref="H39">IF(A39&lt;=DATE2,SUM(IF((INDEX(INDICES,,1)=A39)*(INDEX(INDICES,5,)=indice_compo_max2),INDEX(INDICES,,),0)),"")</f>
        <v>111.2</v>
      </c>
      <c r="I39" s="112"/>
      <c r="J39" s="112"/>
      <c r="L39" s="93" t="str">
        <v>Réseaux d’assainissement</v>
      </c>
      <c r="M39" s="113">
        <v>0</v>
      </c>
      <c r="N39" s="112" t="str">
        <v>Réseaux d’assainissement</v>
      </c>
      <c r="O39" s="112">
        <v>0</v>
      </c>
      <c r="P39" s="112"/>
      <c r="Q39" s="121" t="str">
        <v>010760506</v>
      </c>
      <c r="R39" s="93" t="str">
        <v>Réseaux d’assainissement</v>
      </c>
      <c r="S39" s="124">
        <v>0.200339113680154</v>
      </c>
      <c r="T39" s="112"/>
      <c r="U39" s="112"/>
    </row>
    <row r="40" spans="1:23" x14ac:dyDescent="0.25">
      <c r="A40" s="119">
        <f t="shared" si="0"/>
        <v>43831</v>
      </c>
      <c r="B40" s="118" cm="1">
        <f t="array" ref="B40">IF(A40&lt;=DATE2,SUM(IF((INDEX(INDEX,,1)=A40)*(INDEX(INDEX,3,)="TP01"),INDEX(INDEX,,),0)),"")</f>
        <v>111.4</v>
      </c>
      <c r="C40" s="118" cm="1">
        <f t="array" ref="C40">IF(A40&lt;=DATE2,SUM(IF((INDEX(INDEX,,1)=A40)*(INDEX(INDEX,3,)=index_choisi),INDEX(INDEX,,),0)),"")</f>
        <v>114.7</v>
      </c>
      <c r="D40" s="118" cm="1">
        <f t="array" ref="D40">IF(A40&lt;=DATE2,SUM(IF((INDEX(INDICES,,1)=A40)*(INDEX(INDICES,5,)="Matériel"),INDEX(INDICES,,),0)),"")</f>
        <v>104.7</v>
      </c>
      <c r="E40" s="118" cm="1">
        <f t="array" ref="E40">IF(A40&lt;=DATE2,SUM(IF((INDEX(INDICES,,1)=A40)*(INDEX(INDICES,5,)="Travail"),INDEX(INDICES,,),0)),"")</f>
        <v>123.7</v>
      </c>
      <c r="F40" s="118" cm="1">
        <f t="array" ref="F40">IF(A40&lt;=DATE2,SUM(IF((INDEX(INDICES,,1)=A40)*(INDEX(INDICES,5,)="GNR"),INDEX(INDICES,,),0)),"")</f>
        <v>128.96496013831526</v>
      </c>
      <c r="G40" s="118" cm="1">
        <f t="array" ref="G40">IF(A40&lt;=DATE2,SUM(IF((INDEX(INDICES,,1)=A40)*(INDEX(INDICES,5,)=indice_compo_max),INDEX(INDICES,,),0)),"")</f>
        <v>105.2</v>
      </c>
      <c r="H40" s="118" cm="1">
        <f t="array" ref="H40">IF(A40&lt;=DATE2,SUM(IF((INDEX(INDICES,,1)=A40)*(INDEX(INDICES,5,)=indice_compo_max2),INDEX(INDICES,,),0)),"")</f>
        <v>112.6</v>
      </c>
      <c r="I40" s="112"/>
      <c r="J40" s="112"/>
      <c r="L40" s="93" t="str">
        <v>Autres textiles</v>
      </c>
      <c r="M40" s="113">
        <v>0</v>
      </c>
      <c r="N40" s="112" t="str">
        <v>Autres textiles</v>
      </c>
      <c r="O40" s="112">
        <v>0</v>
      </c>
      <c r="P40" s="112"/>
      <c r="Q40" s="121" t="str">
        <v>010534554</v>
      </c>
      <c r="R40" s="93" t="str">
        <v>Autres textiles</v>
      </c>
      <c r="S40" s="124">
        <v>0.15287244401168465</v>
      </c>
      <c r="T40" s="112"/>
      <c r="U40" s="112"/>
    </row>
    <row r="41" spans="1:23" x14ac:dyDescent="0.25">
      <c r="A41" s="119">
        <f t="shared" si="0"/>
        <v>43862</v>
      </c>
      <c r="B41" s="118" cm="1">
        <f t="array" ref="B41">IF(A41&lt;=DATE2,SUM(IF((INDEX(INDEX,,1)=A41)*(INDEX(INDEX,3,)="TP01"),INDEX(INDEX,,),0)),"")</f>
        <v>111.7</v>
      </c>
      <c r="C41" s="118" cm="1">
        <f t="array" ref="C41">IF(A41&lt;=DATE2,SUM(IF((INDEX(INDEX,,1)=A41)*(INDEX(INDEX,3,)=index_choisi),INDEX(INDEX,,),0)),"")</f>
        <v>114.8</v>
      </c>
      <c r="D41" s="118" cm="1">
        <f t="array" ref="D41">IF(A41&lt;=DATE2,SUM(IF((INDEX(INDICES,,1)=A41)*(INDEX(INDICES,5,)="Matériel"),INDEX(INDICES,,),0)),"")</f>
        <v>105.5</v>
      </c>
      <c r="E41" s="118" cm="1">
        <f t="array" ref="E41">IF(A41&lt;=DATE2,SUM(IF((INDEX(INDICES,,1)=A41)*(INDEX(INDICES,5,)="Travail"),INDEX(INDICES,,),0)),"")</f>
        <v>123.5</v>
      </c>
      <c r="F41" s="118" cm="1">
        <f t="array" ref="F41">IF(A41&lt;=DATE2,SUM(IF((INDEX(INDICES,,1)=A41)*(INDEX(INDICES,5,)="GNR"),INDEX(INDICES,,),0)),"")</f>
        <v>120.56288540966285</v>
      </c>
      <c r="G41" s="118" cm="1">
        <f t="array" ref="G41">IF(A41&lt;=DATE2,SUM(IF((INDEX(INDICES,,1)=A41)*(INDEX(INDICES,5,)=indice_compo_max),INDEX(INDICES,,),0)),"")</f>
        <v>103.7</v>
      </c>
      <c r="H41" s="118" cm="1">
        <f t="array" ref="H41">IF(A41&lt;=DATE2,SUM(IF((INDEX(INDICES,,1)=A41)*(INDEX(INDICES,5,)=indice_compo_max2),INDEX(INDICES,,),0)),"")</f>
        <v>113.5</v>
      </c>
      <c r="I41" s="112"/>
      <c r="J41" s="112"/>
      <c r="L41" s="93" t="str">
        <v>Matières plastiques sous formes primaires</v>
      </c>
      <c r="M41" s="113">
        <v>0</v>
      </c>
      <c r="N41" s="112" t="str">
        <v>Matières plastiques sous formes primaires</v>
      </c>
      <c r="O41" s="112">
        <v>0</v>
      </c>
      <c r="P41" s="112"/>
      <c r="Q41" s="121" t="str">
        <v>010534606</v>
      </c>
      <c r="R41" s="93" t="str">
        <v>Matières plastiques sous formes primaires</v>
      </c>
      <c r="S41" s="124">
        <v>0.5800575263662513</v>
      </c>
      <c r="T41" s="112"/>
      <c r="U41" s="112"/>
    </row>
    <row r="42" spans="1:23" x14ac:dyDescent="0.25">
      <c r="A42" s="119">
        <f t="shared" si="0"/>
        <v>43891</v>
      </c>
      <c r="B42" s="118" cm="1">
        <f t="array" ref="B42">IF(A42&lt;=DATE2,SUM(IF((INDEX(INDEX,,1)=A42)*(INDEX(INDEX,3,)="TP01"),INDEX(INDEX,,),0)),"")</f>
        <v>110.8</v>
      </c>
      <c r="C42" s="118" cm="1">
        <f t="array" ref="C42">IF(A42&lt;=DATE2,SUM(IF((INDEX(INDEX,,1)=A42)*(INDEX(INDEX,3,)=index_choisi),INDEX(INDEX,,),0)),"")</f>
        <v>114.7</v>
      </c>
      <c r="D42" s="118" cm="1">
        <f t="array" ref="D42">IF(A42&lt;=DATE2,SUM(IF((INDEX(INDICES,,1)=A42)*(INDEX(INDICES,5,)="Matériel"),INDEX(INDICES,,),0)),"")</f>
        <v>105.3</v>
      </c>
      <c r="E42" s="118" cm="1">
        <f t="array" ref="E42">IF(A42&lt;=DATE2,SUM(IF((INDEX(INDICES,,1)=A42)*(INDEX(INDICES,5,)="Travail"),INDEX(INDICES,,),0)),"")</f>
        <v>123.3</v>
      </c>
      <c r="F42" s="118" cm="1">
        <f t="array" ref="F42">IF(A42&lt;=DATE2,SUM(IF((INDEX(INDICES,,1)=A42)*(INDEX(INDICES,5,)="GNR"),INDEX(INDICES,,),0)),"")</f>
        <v>103.85515320334262</v>
      </c>
      <c r="G42" s="118" cm="1">
        <f t="array" ref="G42">IF(A42&lt;=DATE2,SUM(IF((INDEX(INDICES,,1)=A42)*(INDEX(INDICES,5,)=indice_compo_max),INDEX(INDICES,,),0)),"")</f>
        <v>103.5</v>
      </c>
      <c r="H42" s="118" cm="1">
        <f t="array" ref="H42">IF(A42&lt;=DATE2,SUM(IF((INDEX(INDICES,,1)=A42)*(INDEX(INDICES,5,)=indice_compo_max2),INDEX(INDICES,,),0)),"")</f>
        <v>112.3</v>
      </c>
      <c r="I42" s="112"/>
      <c r="J42" s="112"/>
      <c r="L42" s="93" t="str">
        <v>Tubes, tuyaux, profilés creux et accessoires correspondants en acier</v>
      </c>
      <c r="M42" s="113">
        <v>0</v>
      </c>
      <c r="N42" s="112" t="str">
        <v>Tubes, tuyaux, profilés creux et accessoires correspondants en acier</v>
      </c>
      <c r="O42" s="112">
        <v>0</v>
      </c>
      <c r="P42" s="112"/>
      <c r="Q42" s="121" t="str">
        <v>010534654</v>
      </c>
      <c r="R42" s="93" t="str">
        <v>Tubes, tuyaux, profilés creux et accessoires correspondants en acier</v>
      </c>
      <c r="S42" s="124">
        <v>0.44550669216061189</v>
      </c>
      <c r="T42" s="112"/>
      <c r="U42" s="112"/>
    </row>
    <row r="43" spans="1:23" x14ac:dyDescent="0.25">
      <c r="A43" s="119">
        <f t="shared" si="0"/>
        <v>43922</v>
      </c>
      <c r="B43" s="118" cm="1">
        <f t="array" ref="B43">IF(A43&lt;=DATE2,SUM(IF((INDEX(INDEX,,1)=A43)*(INDEX(INDEX,3,)="TP01"),INDEX(INDEX,,),0)),"")</f>
        <v>108.9</v>
      </c>
      <c r="C43" s="118" cm="1">
        <f t="array" ref="C43">IF(A43&lt;=DATE2,SUM(IF((INDEX(INDEX,,1)=A43)*(INDEX(INDEX,3,)=index_choisi),INDEX(INDEX,,),0)),"")</f>
        <v>114.4</v>
      </c>
      <c r="D43" s="118" cm="1">
        <f t="array" ref="D43">IF(A43&lt;=DATE2,SUM(IF((INDEX(INDICES,,1)=A43)*(INDEX(INDICES,5,)="Matériel"),INDEX(INDICES,,),0)),"")</f>
        <v>105.5</v>
      </c>
      <c r="E43" s="118" cm="1">
        <f t="array" ref="E43">IF(A43&lt;=DATE2,SUM(IF((INDEX(INDICES,,1)=A43)*(INDEX(INDICES,5,)="Travail"),INDEX(INDICES,,),0)),"")</f>
        <v>123.6</v>
      </c>
      <c r="F43" s="118" cm="1">
        <f t="array" ref="F43">IF(A43&lt;=DATE2,SUM(IF((INDEX(INDICES,,1)=A43)*(INDEX(INDICES,5,)="GNR"),INDEX(INDICES,,),0)),"")</f>
        <v>92.243761406204982</v>
      </c>
      <c r="G43" s="118" cm="1">
        <f t="array" ref="G43">IF(A43&lt;=DATE2,SUM(IF((INDEX(INDICES,,1)=A43)*(INDEX(INDICES,5,)=indice_compo_max),INDEX(INDICES,,),0)),"")</f>
        <v>102.7</v>
      </c>
      <c r="H43" s="118" cm="1">
        <f t="array" ref="H43">IF(A43&lt;=DATE2,SUM(IF((INDEX(INDICES,,1)=A43)*(INDEX(INDICES,5,)=indice_compo_max2),INDEX(INDICES,,),0)),"")</f>
        <v>112.1</v>
      </c>
      <c r="I43" s="112"/>
      <c r="J43" s="112"/>
      <c r="L43" s="93" t="str">
        <v>Éléments en béton pour la construction</v>
      </c>
      <c r="M43" s="113">
        <v>0</v>
      </c>
      <c r="N43" s="112" t="str">
        <v>Éléments en béton pour la construction</v>
      </c>
      <c r="O43" s="112">
        <v>0</v>
      </c>
      <c r="P43" s="112"/>
      <c r="Q43" s="121" t="str">
        <v>010534645</v>
      </c>
      <c r="R43" s="93" t="str">
        <v>Éléments en béton pour la construction</v>
      </c>
      <c r="S43" s="124">
        <v>0.24405377456049626</v>
      </c>
      <c r="T43" s="112"/>
      <c r="U43" s="112"/>
    </row>
    <row r="44" spans="1:23" x14ac:dyDescent="0.25">
      <c r="A44" s="119">
        <f t="shared" si="0"/>
        <v>43952</v>
      </c>
      <c r="B44" s="118" cm="1">
        <f t="array" ref="B44">IF(A44&lt;=DATE2,SUM(IF((INDEX(INDEX,,1)=A44)*(INDEX(INDEX,3,)="TP01"),INDEX(INDEX,,),0)),"")</f>
        <v>108.7</v>
      </c>
      <c r="C44" s="118" cm="1">
        <f t="array" ref="C44">IF(A44&lt;=DATE2,SUM(IF((INDEX(INDEX,,1)=A44)*(INDEX(INDEX,3,)=index_choisi),INDEX(INDEX,,),0)),"")</f>
        <v>114.2</v>
      </c>
      <c r="D44" s="118" cm="1">
        <f t="array" ref="D44">IF(A44&lt;=DATE2,SUM(IF((INDEX(INDICES,,1)=A44)*(INDEX(INDICES,5,)="Matériel"),INDEX(INDICES,,),0)),"")</f>
        <v>104.9</v>
      </c>
      <c r="E44" s="118" cm="1">
        <f t="array" ref="E44">IF(A44&lt;=DATE2,SUM(IF((INDEX(INDICES,,1)=A44)*(INDEX(INDICES,5,)="Travail"),INDEX(INDICES,,),0)),"")</f>
        <v>123.8</v>
      </c>
      <c r="F44" s="118" cm="1">
        <f t="array" ref="F44">IF(A44&lt;=DATE2,SUM(IF((INDEX(INDICES,,1)=A44)*(INDEX(INDICES,5,)="GNR"),INDEX(INDICES,,),0)),"")</f>
        <v>92.932456056094523</v>
      </c>
      <c r="G44" s="118" cm="1">
        <f t="array" ref="G44">IF(A44&lt;=DATE2,SUM(IF((INDEX(INDICES,,1)=A44)*(INDEX(INDICES,5,)=indice_compo_max),INDEX(INDICES,,),0)),"")</f>
        <v>104.4</v>
      </c>
      <c r="H44" s="118" cm="1">
        <f t="array" ref="H44">IF(A44&lt;=DATE2,SUM(IF((INDEX(INDICES,,1)=A44)*(INDEX(INDICES,5,)=indice_compo_max2),INDEX(INDICES,,),0)),"")</f>
        <v>111.3</v>
      </c>
      <c r="I44" s="112"/>
      <c r="J44" s="112"/>
      <c r="L44" s="93" t="str">
        <v>Fils et câbles d'énergie</v>
      </c>
      <c r="M44" s="113">
        <v>0</v>
      </c>
      <c r="N44" s="112" t="str">
        <v>Fils et câbles d'énergie</v>
      </c>
      <c r="O44" s="112">
        <v>0</v>
      </c>
      <c r="P44" s="112"/>
      <c r="Q44" s="121" t="str">
        <v>010534330</v>
      </c>
      <c r="R44" s="93" t="str">
        <v>Fils et câbles d'énergie</v>
      </c>
      <c r="S44" s="124">
        <v>0.43963782696177045</v>
      </c>
      <c r="T44" s="112"/>
      <c r="U44" s="112"/>
    </row>
    <row r="45" spans="1:23" x14ac:dyDescent="0.25">
      <c r="A45" s="119">
        <f t="shared" si="0"/>
        <v>43983</v>
      </c>
      <c r="B45" s="118" cm="1">
        <f t="array" ref="B45">IF(A45&lt;=DATE2,SUM(IF((INDEX(INDEX,,1)=A45)*(INDEX(INDEX,3,)="TP01"),INDEX(INDEX,,),0)),"")</f>
        <v>108.8</v>
      </c>
      <c r="C45" s="118" cm="1">
        <f t="array" ref="C45">IF(A45&lt;=DATE2,SUM(IF((INDEX(INDEX,,1)=A45)*(INDEX(INDEX,3,)=index_choisi),INDEX(INDEX,,),0)),"")</f>
        <v>113.7</v>
      </c>
      <c r="D45" s="118" cm="1">
        <f t="array" ref="D45">IF(A45&lt;=DATE2,SUM(IF((INDEX(INDICES,,1)=A45)*(INDEX(INDICES,5,)="Matériel"),INDEX(INDICES,,),0)),"")</f>
        <v>103</v>
      </c>
      <c r="E45" s="118" cm="1">
        <f t="array" ref="E45">IF(A45&lt;=DATE2,SUM(IF((INDEX(INDICES,,1)=A45)*(INDEX(INDICES,5,)="Travail"),INDEX(INDICES,,),0)),"")</f>
        <v>124</v>
      </c>
      <c r="F45" s="118" cm="1">
        <f t="array" ref="F45">IF(A45&lt;=DATE2,SUM(IF((INDEX(INDICES,,1)=A45)*(INDEX(INDICES,5,)="GNR"),INDEX(INDICES,,),0)),"")</f>
        <v>98.758812794160036</v>
      </c>
      <c r="G45" s="118" cm="1">
        <f t="array" ref="G45">IF(A45&lt;=DATE2,SUM(IF((INDEX(INDICES,,1)=A45)*(INDEX(INDICES,5,)=indice_compo_max),INDEX(INDICES,,),0)),"")</f>
        <v>105.4</v>
      </c>
      <c r="H45" s="118" cm="1">
        <f t="array" ref="H45">IF(A45&lt;=DATE2,SUM(IF((INDEX(INDICES,,1)=A45)*(INDEX(INDICES,5,)=indice_compo_max2),INDEX(INDICES,,),0)),"")</f>
        <v>109.7</v>
      </c>
      <c r="I45" s="112"/>
      <c r="J45" s="112"/>
      <c r="L45" s="93" t="str">
        <v>Moteurs, génératrices, transfo. électr., matér. distrib., cmde électr.</v>
      </c>
      <c r="M45" s="113">
        <v>0</v>
      </c>
      <c r="N45" s="112" t="str">
        <v>Moteurs, génératrices, transfo. électr., matér. distrib., cmde électr.</v>
      </c>
      <c r="O45" s="112">
        <v>0</v>
      </c>
      <c r="P45" s="112"/>
      <c r="Q45" s="121" t="str">
        <v>010534696</v>
      </c>
      <c r="R45" s="93" t="str">
        <v>Moteurs, génératrices, transfo. électr., matér. distrib., cmde électr.</v>
      </c>
      <c r="S45" s="124">
        <v>0.14931237721021606</v>
      </c>
      <c r="T45" s="112"/>
      <c r="U45" s="112"/>
    </row>
    <row r="46" spans="1:23" x14ac:dyDescent="0.25">
      <c r="A46" s="119">
        <f t="shared" si="0"/>
        <v>44013</v>
      </c>
      <c r="B46" s="118" cm="1">
        <f t="array" ref="B46">IF(A46&lt;=DATE2,SUM(IF((INDEX(INDEX,,1)=A46)*(INDEX(INDEX,3,)="TP01"),INDEX(INDEX,,),0)),"")</f>
        <v>109.9</v>
      </c>
      <c r="C46" s="118" cm="1">
        <f t="array" ref="C46">IF(A46&lt;=DATE2,SUM(IF((INDEX(INDEX,,1)=A46)*(INDEX(INDEX,3,)=index_choisi),INDEX(INDEX,,),0)),"")</f>
        <v>113.7</v>
      </c>
      <c r="D46" s="118" cm="1">
        <f t="array" ref="D46">IF(A46&lt;=DATE2,SUM(IF((INDEX(INDICES,,1)=A46)*(INDEX(INDICES,5,)="Matériel"),INDEX(INDICES,,),0)),"")</f>
        <v>102.6</v>
      </c>
      <c r="E46" s="118" cm="1">
        <f t="array" ref="E46">IF(A46&lt;=DATE2,SUM(IF((INDEX(INDICES,,1)=A46)*(INDEX(INDICES,5,)="Travail"),INDEX(INDICES,,),0)),"")</f>
        <v>123.8</v>
      </c>
      <c r="F46" s="118" cm="1">
        <f t="array" ref="F46">IF(A46&lt;=DATE2,SUM(IF((INDEX(INDICES,,1)=A46)*(INDEX(INDICES,5,)="GNR"),INDEX(INDICES,,),0)),"")</f>
        <v>100.37035827490156</v>
      </c>
      <c r="G46" s="118" cm="1">
        <f t="array" ref="G46">IF(A46&lt;=DATE2,SUM(IF((INDEX(INDICES,,1)=A46)*(INDEX(INDICES,5,)=indice_compo_max),INDEX(INDICES,,),0)),"")</f>
        <v>105.6</v>
      </c>
      <c r="H46" s="118" cm="1">
        <f t="array" ref="H46">IF(A46&lt;=DATE2,SUM(IF((INDEX(INDICES,,1)=A46)*(INDEX(INDICES,5,)=indice_compo_max2),INDEX(INDICES,,),0)),"")</f>
        <v>108</v>
      </c>
      <c r="I46" s="112"/>
      <c r="J46" s="112"/>
      <c r="L46" s="93" t="str">
        <v>Matériel de distribution et de commande électrique</v>
      </c>
      <c r="M46" s="113">
        <v>0</v>
      </c>
      <c r="N46" s="112" t="str">
        <v>Matériel de distribution et de commande électrique</v>
      </c>
      <c r="O46" s="112">
        <v>0</v>
      </c>
      <c r="P46" s="112"/>
      <c r="Q46" s="121" t="str">
        <v>010534698</v>
      </c>
      <c r="R46" s="93" t="str">
        <v>Matériel de distribution et de commande électrique</v>
      </c>
      <c r="S46" s="124">
        <v>0.15988083416087373</v>
      </c>
      <c r="T46" s="112"/>
      <c r="U46" s="112"/>
    </row>
    <row r="47" spans="1:23" x14ac:dyDescent="0.25">
      <c r="A47" s="119">
        <f t="shared" si="0"/>
        <v>44044</v>
      </c>
      <c r="B47" s="118" cm="1">
        <f t="array" ref="B47">IF(A47&lt;=DATE2,SUM(IF((INDEX(INDEX,,1)=A47)*(INDEX(INDEX,3,)="TP01"),INDEX(INDEX,,),0)),"")</f>
        <v>110</v>
      </c>
      <c r="C47" s="118" cm="1">
        <f t="array" ref="C47">IF(A47&lt;=DATE2,SUM(IF((INDEX(INDEX,,1)=A47)*(INDEX(INDEX,3,)=index_choisi),INDEX(INDEX,,),0)),"")</f>
        <v>113.8</v>
      </c>
      <c r="D47" s="118" cm="1">
        <f t="array" ref="D47">IF(A47&lt;=DATE2,SUM(IF((INDEX(INDICES,,1)=A47)*(INDEX(INDICES,5,)="Matériel"),INDEX(INDICES,,),0)),"")</f>
        <v>102.8</v>
      </c>
      <c r="E47" s="118" cm="1">
        <f t="array" ref="E47">IF(A47&lt;=DATE2,SUM(IF((INDEX(INDICES,,1)=A47)*(INDEX(INDICES,5,)="Travail"),INDEX(INDICES,,),0)),"")</f>
        <v>123.7</v>
      </c>
      <c r="F47" s="118" cm="1">
        <f t="array" ref="F47">IF(A47&lt;=DATE2,SUM(IF((INDEX(INDICES,,1)=A47)*(INDEX(INDICES,5,)="GNR"),INDEX(INDICES,,),0)),"")</f>
        <v>99.06183844011143</v>
      </c>
      <c r="G47" s="118" cm="1">
        <f t="array" ref="G47">IF(A47&lt;=DATE2,SUM(IF((INDEX(INDICES,,1)=A47)*(INDEX(INDICES,5,)=indice_compo_max),INDEX(INDICES,,),0)),"")</f>
        <v>105.4</v>
      </c>
      <c r="H47" s="118" cm="1">
        <f t="array" ref="H47">IF(A47&lt;=DATE2,SUM(IF((INDEX(INDICES,,1)=A47)*(INDEX(INDICES,5,)=indice_compo_max2),INDEX(INDICES,,),0)),"")</f>
        <v>107.4</v>
      </c>
      <c r="I47" s="112"/>
      <c r="J47" s="112"/>
      <c r="L47" s="93" t="str">
        <v>Appareils d'éclairage électrique</v>
      </c>
      <c r="M47" s="113">
        <v>0</v>
      </c>
      <c r="N47" s="112" t="str">
        <v>Appareils d'éclairage électrique</v>
      </c>
      <c r="O47" s="112">
        <v>0</v>
      </c>
      <c r="P47" s="112"/>
      <c r="Q47" s="121" t="str">
        <v>010534702</v>
      </c>
      <c r="R47" s="93" t="str">
        <v>Appareils d'éclairage électrique</v>
      </c>
      <c r="S47" s="124">
        <v>5.967078189300401E-2</v>
      </c>
      <c r="T47" s="112"/>
      <c r="U47" s="112"/>
    </row>
    <row r="48" spans="1:23" x14ac:dyDescent="0.25">
      <c r="A48" s="119">
        <f t="shared" si="0"/>
        <v>44075</v>
      </c>
      <c r="B48" s="118" cm="1">
        <f t="array" ref="B48">IF(A48&lt;=DATE2,SUM(IF((INDEX(INDEX,,1)=A48)*(INDEX(INDEX,3,)="TP01"),INDEX(INDEX,,),0)),"")</f>
        <v>110.1</v>
      </c>
      <c r="C48" s="118" cm="1">
        <f t="array" ref="C48">IF(A48&lt;=DATE2,SUM(IF((INDEX(INDEX,,1)=A48)*(INDEX(INDEX,3,)=index_choisi),INDEX(INDEX,,),0)),"")</f>
        <v>114.4</v>
      </c>
      <c r="D48" s="118" cm="1">
        <f t="array" ref="D48">IF(A48&lt;=DATE2,SUM(IF((INDEX(INDICES,,1)=A48)*(INDEX(INDICES,5,)="Matériel"),INDEX(INDICES,,),0)),"")</f>
        <v>104.4</v>
      </c>
      <c r="E48" s="118" cm="1">
        <f t="array" ref="E48">IF(A48&lt;=DATE2,SUM(IF((INDEX(INDICES,,1)=A48)*(INDEX(INDICES,5,)="Travail"),INDEX(INDICES,,),0)),"")</f>
        <v>123.6</v>
      </c>
      <c r="F48" s="118" cm="1">
        <f t="array" ref="F48">IF(A48&lt;=DATE2,SUM(IF((INDEX(INDICES,,1)=A48)*(INDEX(INDICES,5,)="GNR"),INDEX(INDICES,,),0)),"")</f>
        <v>94.034367495917806</v>
      </c>
      <c r="G48" s="118" cm="1">
        <f t="array" ref="G48">IF(A48&lt;=DATE2,SUM(IF((INDEX(INDICES,,1)=A48)*(INDEX(INDICES,5,)=indice_compo_max),INDEX(INDICES,,),0)),"")</f>
        <v>106.5</v>
      </c>
      <c r="H48" s="118" cm="1">
        <f t="array" ref="H48">IF(A48&lt;=DATE2,SUM(IF((INDEX(INDICES,,1)=A48)*(INDEX(INDICES,5,)=indice_compo_max2),INDEX(INDICES,,),0)),"")</f>
        <v>108.5</v>
      </c>
      <c r="I48" s="112"/>
      <c r="J48" s="112"/>
      <c r="L48" s="93" t="str">
        <v>Câbles de fibres optiques</v>
      </c>
      <c r="M48" s="113">
        <v>0</v>
      </c>
      <c r="N48" s="112" t="str">
        <v>Câbles de fibres optiques</v>
      </c>
      <c r="O48" s="112">
        <v>0</v>
      </c>
      <c r="P48" s="112"/>
      <c r="Q48" s="121" t="str">
        <v>010535345</v>
      </c>
      <c r="R48" s="93" t="str">
        <v>Câbles de fibres optiques</v>
      </c>
      <c r="S48" s="124">
        <v>-1.132075471698113E-2</v>
      </c>
      <c r="T48" s="112"/>
      <c r="U48" s="112"/>
    </row>
    <row r="49" spans="1:21" x14ac:dyDescent="0.25">
      <c r="A49" s="119">
        <f t="shared" ref="A49:A80" si="1">IF(A48&lt;DATE2,EDATE(A48,1),"")</f>
        <v>44105</v>
      </c>
      <c r="B49" s="118" cm="1">
        <f t="array" ref="B49">IF(A49&lt;=DATE2,SUM(IF((INDEX(INDEX,,1)=A49)*(INDEX(INDEX,3,)="TP01"),INDEX(INDEX,,),0)),"")</f>
        <v>109.5</v>
      </c>
      <c r="C49" s="118" cm="1">
        <f t="array" ref="C49">IF(A49&lt;=DATE2,SUM(IF((INDEX(INDEX,,1)=A49)*(INDEX(INDEX,3,)=index_choisi),INDEX(INDEX,,),0)),"")</f>
        <v>114.4</v>
      </c>
      <c r="D49" s="118" cm="1">
        <f t="array" ref="D49">IF(A49&lt;=DATE2,SUM(IF((INDEX(INDICES,,1)=A49)*(INDEX(INDICES,5,)="Matériel"),INDEX(INDICES,,),0)),"")</f>
        <v>104.1</v>
      </c>
      <c r="E49" s="118" cm="1">
        <f t="array" ref="E49">IF(A49&lt;=DATE2,SUM(IF((INDEX(INDICES,,1)=A49)*(INDEX(INDICES,5,)="Travail"),INDEX(INDICES,,),0)),"")</f>
        <v>123.5</v>
      </c>
      <c r="F49" s="118" cm="1">
        <f t="array" ref="F49">IF(A49&lt;=DATE2,SUM(IF((INDEX(INDICES,,1)=A49)*(INDEX(INDICES,5,)="GNR"),INDEX(INDICES,,),0)),"")</f>
        <v>95.632139083661556</v>
      </c>
      <c r="G49" s="118" cm="1">
        <f t="array" ref="G49">IF(A49&lt;=DATE2,SUM(IF((INDEX(INDICES,,1)=A49)*(INDEX(INDICES,5,)=indice_compo_max),INDEX(INDICES,,),0)),"")</f>
        <v>105.9</v>
      </c>
      <c r="H49" s="118" cm="1">
        <f t="array" ref="H49">IF(A49&lt;=DATE2,SUM(IF((INDEX(INDICES,,1)=A49)*(INDEX(INDICES,5,)=indice_compo_max2),INDEX(INDICES,,),0)),"")</f>
        <v>110.7</v>
      </c>
      <c r="I49" s="112"/>
      <c r="J49" s="112"/>
      <c r="L49" s="93" t="str">
        <v>Peintures Industries</v>
      </c>
      <c r="M49" s="113">
        <v>0</v>
      </c>
      <c r="N49" s="112" t="str">
        <v>Peintures Industries</v>
      </c>
      <c r="O49" s="112">
        <v>0</v>
      </c>
      <c r="P49" s="112"/>
      <c r="Q49" s="121" t="str">
        <v>010534180</v>
      </c>
      <c r="R49" s="93" t="str">
        <v>Peintures Industries</v>
      </c>
      <c r="S49" s="125">
        <v>0.4594078319006687</v>
      </c>
      <c r="T49" s="112"/>
      <c r="U49" s="112"/>
    </row>
    <row r="50" spans="1:21" x14ac:dyDescent="0.25">
      <c r="A50" s="119">
        <f t="shared" si="1"/>
        <v>44136</v>
      </c>
      <c r="B50" s="118" cm="1">
        <f t="array" ref="B50">IF(A50&lt;=DATE2,SUM(IF((INDEX(INDEX,,1)=A50)*(INDEX(INDEX,3,)="TP01"),INDEX(INDEX,,),0)),"")</f>
        <v>109.5</v>
      </c>
      <c r="C50" s="118" cm="1">
        <f t="array" ref="C50">IF(A50&lt;=DATE2,SUM(IF((INDEX(INDEX,,1)=A50)*(INDEX(INDEX,3,)=index_choisi),INDEX(INDEX,,),0)),"")</f>
        <v>114.5</v>
      </c>
      <c r="D50" s="118" cm="1">
        <f t="array" ref="D50">IF(A50&lt;=DATE2,SUM(IF((INDEX(INDICES,,1)=A50)*(INDEX(INDICES,5,)="Matériel"),INDEX(INDICES,,),0)),"")</f>
        <v>104.4</v>
      </c>
      <c r="E50" s="118" cm="1">
        <f t="array" ref="E50">IF(A50&lt;=DATE2,SUM(IF((INDEX(INDICES,,1)=A50)*(INDEX(INDICES,5,)="Travail"),INDEX(INDICES,,),0)),"")</f>
        <v>123.5</v>
      </c>
      <c r="F50" s="118" cm="1">
        <f t="array" ref="F50">IF(A50&lt;=DATE2,SUM(IF((INDEX(INDICES,,1)=A50)*(INDEX(INDICES,5,)="GNR"),INDEX(INDICES,,),0)),"")</f>
        <v>98.634847757179941</v>
      </c>
      <c r="G50" s="118" cm="1">
        <f t="array" ref="G50">IF(A50&lt;=DATE2,SUM(IF((INDEX(INDICES,,1)=A50)*(INDEX(INDICES,5,)=indice_compo_max),INDEX(INDICES,,),0)),"")</f>
        <v>105.4</v>
      </c>
      <c r="H50" s="118" cm="1">
        <f t="array" ref="H50">IF(A50&lt;=DATE2,SUM(IF((INDEX(INDICES,,1)=A50)*(INDEX(INDICES,5,)=indice_compo_max2),INDEX(INDICES,,),0)),"")</f>
        <v>112.6</v>
      </c>
      <c r="I50" s="112"/>
      <c r="J50" s="112"/>
      <c r="L50" s="93" t="str">
        <v>Produits sidérurgiques en acier non allié</v>
      </c>
      <c r="M50" s="113">
        <v>0</v>
      </c>
      <c r="N50" s="93" t="str">
        <v>Produits sidérurgiques en acier non allié</v>
      </c>
      <c r="O50" s="93">
        <v>0</v>
      </c>
      <c r="P50" s="112"/>
      <c r="Q50" s="121" t="str">
        <v>010534267</v>
      </c>
      <c r="R50" s="93" t="str">
        <v>Produits sidérurgiques en acier non allié</v>
      </c>
      <c r="S50" s="125">
        <v>0.58584987057808458</v>
      </c>
      <c r="T50" s="112"/>
    </row>
    <row r="51" spans="1:21" x14ac:dyDescent="0.25">
      <c r="A51" s="119">
        <f t="shared" si="1"/>
        <v>44166</v>
      </c>
      <c r="B51" s="118" cm="1">
        <f t="array" ref="B51">IF(A51&lt;=DATE2,SUM(IF((INDEX(INDEX,,1)=A51)*(INDEX(INDEX,3,)="TP01"),INDEX(INDEX,,),0)),"")</f>
        <v>109.8</v>
      </c>
      <c r="C51" s="118" cm="1">
        <f t="array" ref="C51">IF(A51&lt;=DATE2,SUM(IF((INDEX(INDEX,,1)=A51)*(INDEX(INDEX,3,)=index_choisi),INDEX(INDEX,,),0)),"")</f>
        <v>114.9</v>
      </c>
      <c r="D51" s="118" cm="1">
        <f t="array" ref="D51">IF(A51&lt;=DATE2,SUM(IF((INDEX(INDICES,,1)=A51)*(INDEX(INDICES,5,)="Matériel"),INDEX(INDICES,,),0)),"")</f>
        <v>104.4</v>
      </c>
      <c r="E51" s="118" cm="1">
        <f t="array" ref="E51">IF(A51&lt;=DATE2,SUM(IF((INDEX(INDICES,,1)=A51)*(INDEX(INDICES,5,)="Travail"),INDEX(INDICES,,),0)),"")</f>
        <v>123.4</v>
      </c>
      <c r="F51" s="118" cm="1">
        <f t="array" ref="F51">IF(A51&lt;=DATE2,SUM(IF((INDEX(INDICES,,1)=A51)*(INDEX(INDICES,5,)="GNR"),INDEX(INDICES,,),0)),"")</f>
        <v>103.4970319854001</v>
      </c>
      <c r="G51" s="118" cm="1">
        <f t="array" ref="G51">IF(A51&lt;=DATE2,SUM(IF((INDEX(INDICES,,1)=A51)*(INDEX(INDICES,5,)=indice_compo_max),INDEX(INDICES,,),0)),"")</f>
        <v>104.7</v>
      </c>
      <c r="H51" s="118" cm="1">
        <f t="array" ref="H51">IF(A51&lt;=DATE2,SUM(IF((INDEX(INDICES,,1)=A51)*(INDEX(INDICES,5,)=indice_compo_max2),INDEX(INDICES,,),0)),"")</f>
        <v>116.1</v>
      </c>
      <c r="L51" s="93" t="str">
        <v>Tôles quarto et autres produits plats en aciers non alliés de qualité</v>
      </c>
      <c r="M51" s="93">
        <v>0</v>
      </c>
      <c r="N51" s="93" t="str">
        <v>Tôles quarto et autres produits plats en aciers non alliés de qualité</v>
      </c>
      <c r="O51" s="93">
        <v>0</v>
      </c>
      <c r="Q51" s="121" t="str">
        <v>010536480</v>
      </c>
      <c r="R51" s="93" t="str">
        <v>Tôles quarto et autres produits plats en aciers non alliés de qualité</v>
      </c>
      <c r="S51" s="125">
        <v>0.62560153994225209</v>
      </c>
    </row>
    <row r="52" spans="1:21" x14ac:dyDescent="0.25">
      <c r="A52" s="119">
        <f t="shared" si="1"/>
        <v>44197</v>
      </c>
      <c r="B52" s="118" cm="1">
        <f t="array" ref="B52">IF(A52&lt;=DATE2,SUM(IF((INDEX(INDEX,,1)=A52)*(INDEX(INDEX,3,)="TP01"),INDEX(INDEX,,),0)),"")</f>
        <v>111.2</v>
      </c>
      <c r="C52" s="118" cm="1">
        <f t="array" ref="C52">IF(A52&lt;=DATE2,SUM(IF((INDEX(INDEX,,1)=A52)*(INDEX(INDEX,3,)=index_choisi),INDEX(INDEX,,),0)),"")</f>
        <v>116.3</v>
      </c>
      <c r="D52" s="118" cm="1">
        <f t="array" ref="D52">IF(A52&lt;=DATE2,SUM(IF((INDEX(INDICES,,1)=A52)*(INDEX(INDICES,5,)="Matériel"),INDEX(INDICES,,),0)),"")</f>
        <v>104.5</v>
      </c>
      <c r="E52" s="118" cm="1">
        <f t="array" ref="E52">IF(A52&lt;=DATE2,SUM(IF((INDEX(INDICES,,1)=A52)*(INDEX(INDICES,5,)="Travail"),INDEX(INDICES,,),0)),"")</f>
        <v>123.4</v>
      </c>
      <c r="F52" s="118" cm="1">
        <f t="array" ref="F52">IF(A52&lt;=DATE2,SUM(IF((INDEX(INDICES,,1)=A52)*(INDEX(INDICES,5,)="GNR"),INDEX(INDICES,,),0)),"")</f>
        <v>110.08095283834412</v>
      </c>
      <c r="G52" s="118" cm="1">
        <f t="array" ref="G52">IF(A52&lt;=DATE2,SUM(IF((INDEX(INDICES,,1)=A52)*(INDEX(INDICES,5,)=indice_compo_max),INDEX(INDICES,,),0)),"")</f>
        <v>105.8</v>
      </c>
      <c r="H52" s="118" cm="1">
        <f t="array" ref="H52">IF(A52&lt;=DATE2,SUM(IF((INDEX(INDICES,,1)=A52)*(INDEX(INDICES,5,)=indice_compo_max2),INDEX(INDICES,,),0)),"")</f>
        <v>130.80000000000001</v>
      </c>
      <c r="L52" s="93" t="str">
        <v>Éléments en métal pour la construction</v>
      </c>
      <c r="M52" s="93">
        <v>0</v>
      </c>
      <c r="N52" s="93" t="str">
        <v>Éléments en métal pour la construction</v>
      </c>
      <c r="O52" s="93">
        <v>0</v>
      </c>
      <c r="Q52" s="121" t="str">
        <v>010534667</v>
      </c>
      <c r="R52" s="93" t="str">
        <v>Éléments en métal pour la construction</v>
      </c>
      <c r="S52" s="125">
        <v>0.31645569620253156</v>
      </c>
    </row>
    <row r="53" spans="1:21" x14ac:dyDescent="0.25">
      <c r="A53" s="119">
        <f t="shared" si="1"/>
        <v>44228</v>
      </c>
      <c r="B53" s="118" cm="1">
        <f t="array" ref="B53">IF(A53&lt;=DATE2,SUM(IF((INDEX(INDEX,,1)=A53)*(INDEX(INDEX,3,)="TP01"),INDEX(INDEX,,),0)),"")</f>
        <v>112.1</v>
      </c>
      <c r="C53" s="118" cm="1">
        <f t="array" ref="C53">IF(A53&lt;=DATE2,SUM(IF((INDEX(INDEX,,1)=A53)*(INDEX(INDEX,3,)=index_choisi),INDEX(INDEX,,),0)),"")</f>
        <v>117.2</v>
      </c>
      <c r="D53" s="118" cm="1">
        <f t="array" ref="D53">IF(A53&lt;=DATE2,SUM(IF((INDEX(INDICES,,1)=A53)*(INDEX(INDICES,5,)="Matériel"),INDEX(INDICES,,),0)),"")</f>
        <v>104.5</v>
      </c>
      <c r="E53" s="118" cm="1">
        <f t="array" ref="E53">IF(A53&lt;=DATE2,SUM(IF((INDEX(INDICES,,1)=A53)*(INDEX(INDICES,5,)="Travail"),INDEX(INDICES,,),0)),"")</f>
        <v>123.3</v>
      </c>
      <c r="F53" s="118" cm="1">
        <f t="array" ref="F53">IF(A53&lt;=DATE2,SUM(IF((INDEX(INDICES,,1)=A53)*(INDEX(INDICES,5,)="GNR"),INDEX(INDICES,,),0)),"")</f>
        <v>117.68414177312464</v>
      </c>
      <c r="G53" s="118" cm="1">
        <f t="array" ref="G53">IF(A53&lt;=DATE2,SUM(IF((INDEX(INDICES,,1)=A53)*(INDEX(INDICES,5,)=indice_compo_max),INDEX(INDICES,,),0)),"")</f>
        <v>105.9</v>
      </c>
      <c r="H53" s="118" cm="1">
        <f t="array" ref="H53">IF(A53&lt;=DATE2,SUM(IF((INDEX(INDICES,,1)=A53)*(INDEX(INDICES,5,)=indice_compo_max2),INDEX(INDICES,,),0)),"")</f>
        <v>139.19999999999999</v>
      </c>
      <c r="L53" s="93" t="str">
        <v>Restaurants et hôtels</v>
      </c>
      <c r="M53" s="93">
        <v>0</v>
      </c>
      <c r="N53" s="93" t="str">
        <v>Restaurants et hôtels</v>
      </c>
      <c r="O53" s="93">
        <v>0</v>
      </c>
      <c r="Q53" s="121" t="str">
        <v>001763781</v>
      </c>
      <c r="R53" s="93" t="str">
        <v>Restaurants et hôtels</v>
      </c>
      <c r="S53" s="125">
        <v>0.10755589822667688</v>
      </c>
    </row>
    <row r="54" spans="1:21" x14ac:dyDescent="0.25">
      <c r="A54" s="119">
        <f t="shared" si="1"/>
        <v>44256</v>
      </c>
      <c r="B54" s="118" cm="1">
        <f t="array" ref="B54">IF(A54&lt;=DATE2,SUM(IF((INDEX(INDEX,,1)=A54)*(INDEX(INDEX,3,)="TP01"),INDEX(INDEX,,),0)),"")</f>
        <v>113.5</v>
      </c>
      <c r="C54" s="118" cm="1">
        <f t="array" ref="C54">IF(A54&lt;=DATE2,SUM(IF((INDEX(INDEX,,1)=A54)*(INDEX(INDEX,3,)=index_choisi),INDEX(INDEX,,),0)),"")</f>
        <v>118.3</v>
      </c>
      <c r="D54" s="118" cm="1">
        <f t="array" ref="D54">IF(A54&lt;=DATE2,SUM(IF((INDEX(INDICES,,1)=A54)*(INDEX(INDICES,5,)="Matériel"),INDEX(INDICES,,),0)),"")</f>
        <v>107.6</v>
      </c>
      <c r="E54" s="118" cm="1">
        <f t="array" ref="E54">IF(A54&lt;=DATE2,SUM(IF((INDEX(INDICES,,1)=A54)*(INDEX(INDICES,5,)="Travail"),INDEX(INDICES,,),0)),"")</f>
        <v>123.3</v>
      </c>
      <c r="F54" s="118" cm="1">
        <f t="array" ref="F54">IF(A54&lt;=DATE2,SUM(IF((INDEX(INDICES,,1)=A54)*(INDEX(INDICES,5,)="GNR"),INDEX(INDICES,,),0)),"")</f>
        <v>120.96232830659883</v>
      </c>
      <c r="G54" s="118" cm="1">
        <f t="array" ref="G54">IF(A54&lt;=DATE2,SUM(IF((INDEX(INDICES,,1)=A54)*(INDEX(INDICES,5,)=indice_compo_max),INDEX(INDICES,,),0)),"")</f>
        <v>106.2</v>
      </c>
      <c r="H54" s="118" cm="1">
        <f t="array" ref="H54">IF(A54&lt;=DATE2,SUM(IF((INDEX(INDICES,,1)=A54)*(INDEX(INDICES,5,)=indice_compo_max2),INDEX(INDICES,,),0)),"")</f>
        <v>144.6</v>
      </c>
      <c r="L54" s="93" t="str">
        <v>Traitement et élimination des déchets non dangereux</v>
      </c>
      <c r="M54" s="93">
        <v>0</v>
      </c>
      <c r="N54" s="93" t="str">
        <v>Traitement et élimination des déchets non dangereux</v>
      </c>
      <c r="O54" s="93">
        <v>0</v>
      </c>
      <c r="Q54" s="121" t="str">
        <v>010534789</v>
      </c>
      <c r="R54" s="93" t="str">
        <v>Traitement et élimination des déchets non dangereux</v>
      </c>
      <c r="S54" s="125">
        <v>0.20396600566572221</v>
      </c>
    </row>
    <row r="55" spans="1:21" x14ac:dyDescent="0.25">
      <c r="A55" s="119">
        <f t="shared" si="1"/>
        <v>44287</v>
      </c>
      <c r="B55" s="118" cm="1">
        <f t="array" ref="B55">IF(A55&lt;=DATE2,SUM(IF((INDEX(INDEX,,1)=A55)*(INDEX(INDEX,3,)="TP01"),INDEX(INDEX,,),0)),"")</f>
        <v>113.8</v>
      </c>
      <c r="C55" s="118" cm="1">
        <f t="array" ref="C55">IF(A55&lt;=DATE2,SUM(IF((INDEX(INDEX,,1)=A55)*(INDEX(INDEX,3,)=index_choisi),INDEX(INDEX,,),0)),"")</f>
        <v>118.9</v>
      </c>
      <c r="D55" s="118" cm="1">
        <f t="array" ref="D55">IF(A55&lt;=DATE2,SUM(IF((INDEX(INDICES,,1)=A55)*(INDEX(INDICES,5,)="Matériel"),INDEX(INDICES,,),0)),"")</f>
        <v>107.8</v>
      </c>
      <c r="E55" s="118" cm="1">
        <f t="array" ref="E55">IF(A55&lt;=DATE2,SUM(IF((INDEX(INDICES,,1)=A55)*(INDEX(INDICES,5,)="Travail"),INDEX(INDICES,,),0)),"")</f>
        <v>123</v>
      </c>
      <c r="F55" s="118" cm="1">
        <f t="array" ref="F55">IF(A55&lt;=DATE2,SUM(IF((INDEX(INDICES,,1)=A55)*(INDEX(INDICES,5,)="GNR"),INDEX(INDICES,,),0)),"")</f>
        <v>117.44998559216218</v>
      </c>
      <c r="G55" s="118" cm="1">
        <f t="array" ref="G55">IF(A55&lt;=DATE2,SUM(IF((INDEX(INDICES,,1)=A55)*(INDEX(INDICES,5,)=indice_compo_max),INDEX(INDICES,,),0)),"")</f>
        <v>106.4</v>
      </c>
      <c r="H55" s="118" cm="1">
        <f t="array" ref="H55">IF(A55&lt;=DATE2,SUM(IF((INDEX(INDICES,,1)=A55)*(INDEX(INDICES,5,)=indice_compo_max2),INDEX(INDICES,,),0)),"")</f>
        <v>149.4</v>
      </c>
      <c r="L55" s="93" t="str">
        <v>Collecte, traitement et élimination des déchets ; récupération de matériaux</v>
      </c>
      <c r="M55" s="93">
        <v>0</v>
      </c>
      <c r="N55" s="93" t="str">
        <v>Collecte, traitement et élimination des déchets ; récupération de matériaux</v>
      </c>
      <c r="O55" s="93">
        <v>0</v>
      </c>
      <c r="Q55" s="93" t="str">
        <v>010534784</v>
      </c>
      <c r="R55" s="93" t="str">
        <v>Collecte, traitement et élimination des déchets ; récupération de matériaux</v>
      </c>
      <c r="S55" s="93">
        <v>0.25168107588856881</v>
      </c>
    </row>
    <row r="56" spans="1:21" x14ac:dyDescent="0.25">
      <c r="A56" s="119">
        <f t="shared" si="1"/>
        <v>44317</v>
      </c>
      <c r="B56" s="118" cm="1">
        <f t="array" ref="B56">IF(A56&lt;=DATE2,SUM(IF((INDEX(INDEX,,1)=A56)*(INDEX(INDEX,3,)="TP01"),INDEX(INDEX,,),0)),"")</f>
        <v>114</v>
      </c>
      <c r="C56" s="118" cm="1">
        <f t="array" ref="C56">IF(A56&lt;=DATE2,SUM(IF((INDEX(INDEX,,1)=A56)*(INDEX(INDEX,3,)=index_choisi),INDEX(INDEX,,),0)),"")</f>
        <v>119</v>
      </c>
      <c r="D56" s="118" cm="1">
        <f t="array" ref="D56">IF(A56&lt;=DATE2,SUM(IF((INDEX(INDICES,,1)=A56)*(INDEX(INDICES,5,)="Matériel"),INDEX(INDICES,,),0)),"")</f>
        <v>107.2</v>
      </c>
      <c r="E56" s="118" cm="1">
        <f t="array" ref="E56">IF(A56&lt;=DATE2,SUM(IF((INDEX(INDICES,,1)=A56)*(INDEX(INDICES,5,)="Travail"),INDEX(INDICES,,),0)),"")</f>
        <v>122.7</v>
      </c>
      <c r="F56" s="118" cm="1">
        <f t="array" ref="F56">IF(A56&lt;=DATE2,SUM(IF((INDEX(INDICES,,1)=A56)*(INDEX(INDICES,5,)="GNR"),INDEX(INDICES,,),0)),"")</f>
        <v>121.36177120353477</v>
      </c>
      <c r="G56" s="118" cm="1">
        <f t="array" ref="G56">IF(A56&lt;=DATE2,SUM(IF((INDEX(INDICES,,1)=A56)*(INDEX(INDICES,5,)=indice_compo_max),INDEX(INDICES,,),0)),"")</f>
        <v>106</v>
      </c>
      <c r="H56" s="118" cm="1">
        <f t="array" ref="H56">IF(A56&lt;=DATE2,SUM(IF((INDEX(INDICES,,1)=A56)*(INDEX(INDICES,5,)=indice_compo_max2),INDEX(INDICES,,),0)),"")</f>
        <v>153.5</v>
      </c>
    </row>
    <row r="57" spans="1:21" x14ac:dyDescent="0.25">
      <c r="A57" s="119">
        <f t="shared" si="1"/>
        <v>44348</v>
      </c>
      <c r="B57" s="118" cm="1">
        <f t="array" ref="B57">IF(A57&lt;=DATE2,SUM(IF((INDEX(INDEX,,1)=A57)*(INDEX(INDEX,3,)="TP01"),INDEX(INDEX,,),0)),"")</f>
        <v>114.8</v>
      </c>
      <c r="C57" s="118" cm="1">
        <f t="array" ref="C57">IF(A57&lt;=DATE2,SUM(IF((INDEX(INDEX,,1)=A57)*(INDEX(INDEX,3,)=index_choisi),INDEX(INDEX,,),0)),"")</f>
        <v>120.8</v>
      </c>
      <c r="D57" s="118" cm="1">
        <f t="array" ref="D57">IF(A57&lt;=DATE2,SUM(IF((INDEX(INDICES,,1)=A57)*(INDEX(INDICES,5,)="Matériel"),INDEX(INDICES,,),0)),"")</f>
        <v>107.8</v>
      </c>
      <c r="E57" s="118" cm="1">
        <f t="array" ref="E57">IF(A57&lt;=DATE2,SUM(IF((INDEX(INDICES,,1)=A57)*(INDEX(INDICES,5,)="Travail"),INDEX(INDICES,,),0)),"")</f>
        <v>122.5</v>
      </c>
      <c r="F57" s="118" cm="1">
        <f t="array" ref="F57">IF(A57&lt;=DATE2,SUM(IF((INDEX(INDICES,,1)=A57)*(INDEX(INDICES,5,)="GNR"),INDEX(INDICES,,),0)),"")</f>
        <v>124.19919316107966</v>
      </c>
      <c r="G57" s="118" cm="1">
        <f t="array" ref="G57">IF(A57&lt;=DATE2,SUM(IF((INDEX(INDICES,,1)=A57)*(INDEX(INDICES,5,)=indice_compo_max),INDEX(INDICES,,),0)),"")</f>
        <v>105.6</v>
      </c>
      <c r="H57" s="118" cm="1">
        <f t="array" ref="H57">IF(A57&lt;=DATE2,SUM(IF((INDEX(INDICES,,1)=A57)*(INDEX(INDICES,5,)=indice_compo_max2),INDEX(INDICES,,),0)),"")</f>
        <v>167.7</v>
      </c>
    </row>
    <row r="58" spans="1:21" x14ac:dyDescent="0.25">
      <c r="A58" s="119">
        <f t="shared" si="1"/>
        <v>44378</v>
      </c>
      <c r="B58" s="118" cm="1">
        <f t="array" ref="B58">IF(A58&lt;=DATE2,SUM(IF((INDEX(INDEX,,1)=A58)*(INDEX(INDEX,3,)="TP01"),INDEX(INDEX,,),0)),"")</f>
        <v>115.9</v>
      </c>
      <c r="C58" s="118" cm="1">
        <f t="array" ref="C58">IF(A58&lt;=DATE2,SUM(IF((INDEX(INDEX,,1)=A58)*(INDEX(INDEX,3,)=index_choisi),INDEX(INDEX,,),0)),"")</f>
        <v>122.7</v>
      </c>
      <c r="D58" s="118" cm="1">
        <f t="array" ref="D58">IF(A58&lt;=DATE2,SUM(IF((INDEX(INDICES,,1)=A58)*(INDEX(INDICES,5,)="Matériel"),INDEX(INDICES,,),0)),"")</f>
        <v>108.3</v>
      </c>
      <c r="E58" s="118" cm="1">
        <f t="array" ref="E58">IF(A58&lt;=DATE2,SUM(IF((INDEX(INDICES,,1)=A58)*(INDEX(INDICES,5,)="Travail"),INDEX(INDICES,,),0)),"")</f>
        <v>122.5</v>
      </c>
      <c r="F58" s="118" cm="1">
        <f t="array" ref="F58">IF(A58&lt;=DATE2,SUM(IF((INDEX(INDICES,,1)=A58)*(INDEX(INDICES,5,)="GNR"),INDEX(INDICES,,),0)),"")</f>
        <v>126.7198155796754</v>
      </c>
      <c r="G58" s="118" cm="1">
        <f t="array" ref="G58">IF(A58&lt;=DATE2,SUM(IF((INDEX(INDICES,,1)=A58)*(INDEX(INDICES,5,)=indice_compo_max),INDEX(INDICES,,),0)),"")</f>
        <v>106.7</v>
      </c>
      <c r="H58" s="118" cm="1">
        <f t="array" ref="H58">IF(A58&lt;=DATE2,SUM(IF((INDEX(INDICES,,1)=A58)*(INDEX(INDICES,5,)=indice_compo_max2),INDEX(INDICES,,),0)),"")</f>
        <v>185.7</v>
      </c>
    </row>
    <row r="59" spans="1:21" x14ac:dyDescent="0.25">
      <c r="A59" s="119">
        <f t="shared" si="1"/>
        <v>44409</v>
      </c>
      <c r="B59" s="118" cm="1">
        <f t="array" ref="B59">IF(A59&lt;=DATE2,SUM(IF((INDEX(INDEX,,1)=A59)*(INDEX(INDEX,3,)="TP01"),INDEX(INDEX,,),0)),"")</f>
        <v>116.1</v>
      </c>
      <c r="C59" s="118" cm="1">
        <f t="array" ref="C59">IF(A59&lt;=DATE2,SUM(IF((INDEX(INDEX,,1)=A59)*(INDEX(INDEX,3,)=index_choisi),INDEX(INDEX,,),0)),"")</f>
        <v>123.1</v>
      </c>
      <c r="D59" s="118" cm="1">
        <f t="array" ref="D59">IF(A59&lt;=DATE2,SUM(IF((INDEX(INDICES,,1)=A59)*(INDEX(INDICES,5,)="Matériel"),INDEX(INDICES,,),0)),"")</f>
        <v>108.2</v>
      </c>
      <c r="E59" s="118" cm="1">
        <f t="array" ref="E59">IF(A59&lt;=DATE2,SUM(IF((INDEX(INDICES,,1)=A59)*(INDEX(INDICES,5,)="Travail"),INDEX(INDICES,,),0)),"")</f>
        <v>122.6</v>
      </c>
      <c r="F59" s="118" cm="1">
        <f t="array" ref="F59">IF(A59&lt;=DATE2,SUM(IF((INDEX(INDICES,,1)=A59)*(INDEX(INDICES,5,)="GNR"),INDEX(INDICES,,),0)),"")</f>
        <v>125.14959177792723</v>
      </c>
      <c r="G59" s="118" cm="1">
        <f t="array" ref="G59">IF(A59&lt;=DATE2,SUM(IF((INDEX(INDICES,,1)=A59)*(INDEX(INDICES,5,)=indice_compo_max),INDEX(INDICES,,),0)),"")</f>
        <v>108.3</v>
      </c>
      <c r="H59" s="118" cm="1">
        <f t="array" ref="H59">IF(A59&lt;=DATE2,SUM(IF((INDEX(INDICES,,1)=A59)*(INDEX(INDICES,5,)=indice_compo_max2),INDEX(INDICES,,),0)),"")</f>
        <v>191.7</v>
      </c>
    </row>
    <row r="60" spans="1:21" x14ac:dyDescent="0.25">
      <c r="A60" s="119">
        <f t="shared" si="1"/>
        <v>44440</v>
      </c>
      <c r="B60" s="118" cm="1">
        <f t="array" ref="B60">IF(A60&lt;=DATE2,SUM(IF((INDEX(INDEX,,1)=A60)*(INDEX(INDEX,3,)="TP01"),INDEX(INDEX,,),0)),"")</f>
        <v>116.4</v>
      </c>
      <c r="C60" s="118" cm="1">
        <f t="array" ref="C60">IF(A60&lt;=DATE2,SUM(IF((INDEX(INDEX,,1)=A60)*(INDEX(INDEX,3,)=index_choisi),INDEX(INDEX,,),0)),"")</f>
        <v>123.7</v>
      </c>
      <c r="D60" s="118" cm="1">
        <f t="array" ref="D60">IF(A60&lt;=DATE2,SUM(IF((INDEX(INDICES,,1)=A60)*(INDEX(INDICES,5,)="Matériel"),INDEX(INDICES,,),0)),"")</f>
        <v>108.6</v>
      </c>
      <c r="E60" s="118" cm="1">
        <f t="array" ref="E60">IF(A60&lt;=DATE2,SUM(IF((INDEX(INDICES,,1)=A60)*(INDEX(INDICES,5,)="Travail"),INDEX(INDICES,,),0)),"")</f>
        <v>122.7</v>
      </c>
      <c r="F60" s="118" cm="1">
        <f t="array" ref="F60">IF(A60&lt;=DATE2,SUM(IF((INDEX(INDICES,,1)=A60)*(INDEX(INDICES,5,)="GNR"),INDEX(INDICES,,),0)),"")</f>
        <v>129.77761982518496</v>
      </c>
      <c r="G60" s="118" cm="1">
        <f t="array" ref="G60">IF(A60&lt;=DATE2,SUM(IF((INDEX(INDICES,,1)=A60)*(INDEX(INDICES,5,)=indice_compo_max),INDEX(INDICES,,),0)),"")</f>
        <v>105.5</v>
      </c>
      <c r="H60" s="118" cm="1">
        <f t="array" ref="H60">IF(A60&lt;=DATE2,SUM(IF((INDEX(INDICES,,1)=A60)*(INDEX(INDICES,5,)=indice_compo_max2),INDEX(INDICES,,),0)),"")</f>
        <v>196.7</v>
      </c>
    </row>
    <row r="61" spans="1:21" x14ac:dyDescent="0.25">
      <c r="A61" s="119">
        <f t="shared" si="1"/>
        <v>44470</v>
      </c>
      <c r="B61" s="118" cm="1">
        <f t="array" ref="B61">IF(A61&lt;=DATE2,SUM(IF((INDEX(INDEX,,1)=A61)*(INDEX(INDEX,3,)="TP01"),INDEX(INDEX,,),0)),"")</f>
        <v>117.5</v>
      </c>
      <c r="C61" s="118" cm="1">
        <f t="array" ref="C61">IF(A61&lt;=DATE2,SUM(IF((INDEX(INDEX,,1)=A61)*(INDEX(INDEX,3,)=index_choisi),INDEX(INDEX,,),0)),"")</f>
        <v>123.6</v>
      </c>
      <c r="D61" s="118" cm="1">
        <f t="array" ref="D61">IF(A61&lt;=DATE2,SUM(IF((INDEX(INDICES,,1)=A61)*(INDEX(INDICES,5,)="Matériel"),INDEX(INDICES,,),0)),"")</f>
        <v>109</v>
      </c>
      <c r="E61" s="118" cm="1">
        <f t="array" ref="E61">IF(A61&lt;=DATE2,SUM(IF((INDEX(INDICES,,1)=A61)*(INDEX(INDICES,5,)="Travail"),INDEX(INDICES,,),0)),"")</f>
        <v>122.6</v>
      </c>
      <c r="F61" s="118" cm="1">
        <f t="array" ref="F61">IF(A61&lt;=DATE2,SUM(IF((INDEX(INDICES,,1)=A61)*(INDEX(INDICES,5,)="GNR"),INDEX(INDICES,,),0)),"")</f>
        <v>145.0804149457305</v>
      </c>
      <c r="G61" s="118" cm="1">
        <f t="array" ref="G61">IF(A61&lt;=DATE2,SUM(IF((INDEX(INDICES,,1)=A61)*(INDEX(INDICES,5,)=indice_compo_max),INDEX(INDICES,,),0)),"")</f>
        <v>106.4</v>
      </c>
      <c r="H61" s="118" cm="1">
        <f t="array" ref="H61">IF(A61&lt;=DATE2,SUM(IF((INDEX(INDICES,,1)=A61)*(INDEX(INDICES,5,)=indice_compo_max2),INDEX(INDICES,,),0)),"")</f>
        <v>193</v>
      </c>
    </row>
    <row r="62" spans="1:21" x14ac:dyDescent="0.25">
      <c r="A62" s="119">
        <f t="shared" si="1"/>
        <v>44501</v>
      </c>
      <c r="B62" s="118" cm="1">
        <f t="array" ref="B62">IF(A62&lt;=DATE2,SUM(IF((INDEX(INDEX,,1)=A62)*(INDEX(INDEX,3,)="TP01"),INDEX(INDEX,,),0)),"")</f>
        <v>118.2</v>
      </c>
      <c r="C62" s="118" cm="1">
        <f t="array" ref="C62">IF(A62&lt;=DATE2,SUM(IF((INDEX(INDEX,,1)=A62)*(INDEX(INDEX,3,)=index_choisi),INDEX(INDEX,,),0)),"")</f>
        <v>124</v>
      </c>
      <c r="D62" s="118" cm="1">
        <f t="array" ref="D62">IF(A62&lt;=DATE2,SUM(IF((INDEX(INDICES,,1)=A62)*(INDEX(INDICES,5,)="Matériel"),INDEX(INDICES,,),0)),"")</f>
        <v>109.1</v>
      </c>
      <c r="E62" s="118" cm="1">
        <f t="array" ref="E62">IF(A62&lt;=DATE2,SUM(IF((INDEX(INDICES,,1)=A62)*(INDEX(INDICES,5,)="Travail"),INDEX(INDICES,,),0)),"")</f>
        <v>122.5</v>
      </c>
      <c r="F62" s="118" cm="1">
        <f t="array" ref="F62">IF(A62&lt;=DATE2,SUM(IF((INDEX(INDICES,,1)=A62)*(INDEX(INDICES,5,)="GNR"),INDEX(INDICES,,),0)),"")</f>
        <v>146.98121217942563</v>
      </c>
      <c r="G62" s="118" cm="1">
        <f t="array" ref="G62">IF(A62&lt;=DATE2,SUM(IF((INDEX(INDICES,,1)=A62)*(INDEX(INDICES,5,)=indice_compo_max),INDEX(INDICES,,),0)),"")</f>
        <v>107</v>
      </c>
      <c r="H62" s="118" cm="1">
        <f t="array" ref="H62">IF(A62&lt;=DATE2,SUM(IF((INDEX(INDICES,,1)=A62)*(INDEX(INDICES,5,)=indice_compo_max2),INDEX(INDICES,,),0)),"")</f>
        <v>193.5</v>
      </c>
    </row>
    <row r="63" spans="1:21" x14ac:dyDescent="0.25">
      <c r="A63" s="119">
        <f t="shared" si="1"/>
        <v>44531</v>
      </c>
      <c r="B63" s="118" cm="1">
        <f t="array" ref="B63">IF(A63&lt;=DATE2,SUM(IF((INDEX(INDEX,,1)=A63)*(INDEX(INDEX,3,)="TP01"),INDEX(INDEX,,),0)),"")</f>
        <v>118.8</v>
      </c>
      <c r="C63" s="118" cm="1">
        <f t="array" ref="C63">IF(A63&lt;=DATE2,SUM(IF((INDEX(INDEX,,1)=A63)*(INDEX(INDEX,3,)=index_choisi),INDEX(INDEX,,),0)),"")</f>
        <v>124.4</v>
      </c>
      <c r="D63" s="118" cm="1">
        <f t="array" ref="D63">IF(A63&lt;=DATE2,SUM(IF((INDEX(INDICES,,1)=A63)*(INDEX(INDICES,5,)="Matériel"),INDEX(INDICES,,),0)),"")</f>
        <v>109.4</v>
      </c>
      <c r="E63" s="118" cm="1">
        <f t="array" ref="E63">IF(A63&lt;=DATE2,SUM(IF((INDEX(INDICES,,1)=A63)*(INDEX(INDICES,5,)="Travail"),INDEX(INDICES,,),0)),"")</f>
        <v>122.4</v>
      </c>
      <c r="F63" s="118" cm="1">
        <f t="array" ref="F63">IF(A63&lt;=DATE2,SUM(IF((INDEX(INDICES,,1)=A63)*(INDEX(INDICES,5,)="GNR"),INDEX(INDICES,,),0)),"")</f>
        <v>143.4</v>
      </c>
      <c r="G63" s="118" cm="1">
        <f t="array" ref="G63">IF(A63&lt;=DATE2,SUM(IF((INDEX(INDICES,,1)=A63)*(INDEX(INDICES,5,)=indice_compo_max),INDEX(INDICES,,),0)),"")</f>
        <v>106.9</v>
      </c>
      <c r="H63" s="118" cm="1">
        <f t="array" ref="H63">IF(A63&lt;=DATE2,SUM(IF((INDEX(INDICES,,1)=A63)*(INDEX(INDICES,5,)=indice_compo_max2),INDEX(INDICES,,),0)),"")</f>
        <v>192.6</v>
      </c>
    </row>
    <row r="64" spans="1:21" x14ac:dyDescent="0.25">
      <c r="A64" s="119">
        <f t="shared" si="1"/>
        <v>44562</v>
      </c>
      <c r="B64" s="118" cm="1">
        <f t="array" ref="B64">IF(A64&lt;=DATE2,SUM(IF((INDEX(INDEX,,1)=A64)*(INDEX(INDEX,3,)="TP01"),INDEX(INDEX,,),0)),"")</f>
        <v>119.9</v>
      </c>
      <c r="C64" s="118" cm="1">
        <f t="array" ref="C64">IF(A64&lt;=DATE2,SUM(IF((INDEX(INDEX,,1)=A64)*(INDEX(INDEX,3,)=index_choisi),INDEX(INDEX,,),0)),"")</f>
        <v>125.3</v>
      </c>
      <c r="D64" s="118" cm="1">
        <f t="array" ref="D64">IF(A64&lt;=DATE2,SUM(IF((INDEX(INDICES,,1)=A64)*(INDEX(INDICES,5,)="Matériel"),INDEX(INDICES,,),0)),"")</f>
        <v>110.8</v>
      </c>
      <c r="E64" s="118" cm="1">
        <f t="array" ref="E64">IF(A64&lt;=DATE2,SUM(IF((INDEX(INDICES,,1)=A64)*(INDEX(INDICES,5,)="Travail"),INDEX(INDICES,,),0)),"")</f>
        <v>122.6</v>
      </c>
      <c r="F64" s="118" cm="1">
        <f t="array" ref="F64">IF(A64&lt;=DATE2,SUM(IF((INDEX(INDICES,,1)=A64)*(INDEX(INDICES,5,)="GNR"),INDEX(INDICES,,),0)),"")</f>
        <v>156.1</v>
      </c>
      <c r="G64" s="118" cm="1">
        <f t="array" ref="G64">IF(A64&lt;=DATE2,SUM(IF((INDEX(INDICES,,1)=A64)*(INDEX(INDICES,5,)=indice_compo_max),INDEX(INDICES,,),0)),"")</f>
        <v>109.8</v>
      </c>
      <c r="H64" s="118" cm="1">
        <f t="array" ref="H64">IF(A64&lt;=DATE2,SUM(IF((INDEX(INDICES,,1)=A64)*(INDEX(INDICES,5,)=indice_compo_max2),INDEX(INDICES,,),0)),"")</f>
        <v>193.7</v>
      </c>
    </row>
    <row r="65" spans="1:8" x14ac:dyDescent="0.25">
      <c r="A65" s="119">
        <f t="shared" si="1"/>
        <v>44593</v>
      </c>
      <c r="B65" s="118" cm="1">
        <f t="array" ref="B65">IF(A65&lt;=DATE2,SUM(IF((INDEX(INDEX,,1)=A65)*(INDEX(INDEX,3,)="TP01"),INDEX(INDEX,,),0)),"")</f>
        <v>121.3</v>
      </c>
      <c r="C65" s="118" cm="1">
        <f t="array" ref="C65">IF(A65&lt;=DATE2,SUM(IF((INDEX(INDEX,,1)=A65)*(INDEX(INDEX,3,)=index_choisi),INDEX(INDEX,,),0)),"")</f>
        <v>125.7</v>
      </c>
      <c r="D65" s="118" cm="1">
        <f t="array" ref="D65">IF(A65&lt;=DATE2,SUM(IF((INDEX(INDICES,,1)=A65)*(INDEX(INDICES,5,)="Matériel"),INDEX(INDICES,,),0)),"")</f>
        <v>111.3</v>
      </c>
      <c r="E65" s="118" cm="1">
        <f t="array" ref="E65">IF(A65&lt;=DATE2,SUM(IF((INDEX(INDICES,,1)=A65)*(INDEX(INDICES,5,)="Travail"),INDEX(INDICES,,),0)),"")</f>
        <v>122.8</v>
      </c>
      <c r="F65" s="118" cm="1">
        <f t="array" ref="F65">IF(A65&lt;=DATE2,SUM(IF((INDEX(INDICES,,1)=A65)*(INDEX(INDICES,5,)="GNR"),INDEX(INDICES,,),0)),"")</f>
        <v>167.4</v>
      </c>
      <c r="G65" s="118" cm="1">
        <f t="array" ref="G65">IF(A65&lt;=DATE2,SUM(IF((INDEX(INDICES,,1)=A65)*(INDEX(INDICES,5,)=indice_compo_max),INDEX(INDICES,,),0)),"")</f>
        <v>109.6</v>
      </c>
      <c r="H65" s="118" cm="1">
        <f t="array" ref="H65">IF(A65&lt;=DATE2,SUM(IF((INDEX(INDICES,,1)=A65)*(INDEX(INDICES,5,)=indice_compo_max2),INDEX(INDICES,,),0)),"")</f>
        <v>196.9</v>
      </c>
    </row>
    <row r="66" spans="1:8" x14ac:dyDescent="0.25">
      <c r="A66" s="119">
        <f t="shared" si="1"/>
        <v>44621</v>
      </c>
      <c r="B66" s="118" cm="1">
        <f t="array" ref="B66">IF(A66&lt;=DATE2,SUM(IF((INDEX(INDEX,,1)=A66)*(INDEX(INDEX,3,)="TP01"),INDEX(INDEX,,),0)),"")</f>
        <v>124.7</v>
      </c>
      <c r="C66" s="118" cm="1">
        <f t="array" ref="C66">IF(A66&lt;=DATE2,SUM(IF((INDEX(INDEX,,1)=A66)*(INDEX(INDEX,3,)=index_choisi),INDEX(INDEX,,),0)),"")</f>
        <v>127.2</v>
      </c>
      <c r="D66" s="118" cm="1">
        <f t="array" ref="D66">IF(A66&lt;=DATE2,SUM(IF((INDEX(INDICES,,1)=A66)*(INDEX(INDICES,5,)="Matériel"),INDEX(INDICES,,),0)),"")</f>
        <v>111.1</v>
      </c>
      <c r="E66" s="118" cm="1">
        <f t="array" ref="E66">IF(A66&lt;=DATE2,SUM(IF((INDEX(INDICES,,1)=A66)*(INDEX(INDICES,5,)="Travail"),INDEX(INDICES,,),0)),"")</f>
        <v>123</v>
      </c>
      <c r="F66" s="118" cm="1">
        <f t="array" ref="F66">IF(A66&lt;=DATE2,SUM(IF((INDEX(INDICES,,1)=A66)*(INDEX(INDICES,5,)="GNR"),INDEX(INDICES,,),0)),"")</f>
        <v>224.4</v>
      </c>
      <c r="G66" s="118" cm="1">
        <f t="array" ref="G66">IF(A66&lt;=DATE2,SUM(IF((INDEX(INDICES,,1)=A66)*(INDEX(INDICES,5,)=indice_compo_max),INDEX(INDICES,,),0)),"")</f>
        <v>109.3</v>
      </c>
      <c r="H66" s="118" cm="1">
        <f t="array" ref="H66">IF(A66&lt;=DATE2,SUM(IF((INDEX(INDICES,,1)=A66)*(INDEX(INDICES,5,)=indice_compo_max2),INDEX(INDICES,,),0)),"")</f>
        <v>213.4</v>
      </c>
    </row>
    <row r="67" spans="1:8" x14ac:dyDescent="0.25">
      <c r="A67" s="119">
        <f t="shared" si="1"/>
        <v>44652</v>
      </c>
      <c r="B67" s="118" cm="1">
        <f t="array" ref="B67">IF(A67&lt;=DATE2,SUM(IF((INDEX(INDEX,,1)=A67)*(INDEX(INDEX,3,)="TP01"),INDEX(INDEX,,),0)),"")</f>
        <v>126.6</v>
      </c>
      <c r="C67" s="118" cm="1">
        <f t="array" ref="C67">IF(A67&lt;=DATE2,SUM(IF((INDEX(INDEX,,1)=A67)*(INDEX(INDEX,3,)=index_choisi),INDEX(INDEX,,),0)),"")</f>
        <v>131</v>
      </c>
      <c r="D67" s="118" cm="1">
        <f t="array" ref="D67">IF(A67&lt;=DATE2,SUM(IF((INDEX(INDICES,,1)=A67)*(INDEX(INDICES,5,)="Matériel"),INDEX(INDICES,,),0)),"")</f>
        <v>113.4</v>
      </c>
      <c r="E67" s="118" cm="1">
        <f t="array" ref="E67">IF(A67&lt;=DATE2,SUM(IF((INDEX(INDICES,,1)=A67)*(INDEX(INDICES,5,)="Travail"),INDEX(INDICES,,),0)),"")</f>
        <v>123.2</v>
      </c>
      <c r="F67" s="118" cm="1">
        <f t="array" ref="F67">IF(A67&lt;=DATE2,SUM(IF((INDEX(INDICES,,1)=A67)*(INDEX(INDICES,5,)="GNR"),INDEX(INDICES,,),0)),"")</f>
        <v>188.1</v>
      </c>
      <c r="G67" s="118" cm="1">
        <f t="array" ref="G67">IF(A67&lt;=DATE2,SUM(IF((INDEX(INDICES,,1)=A67)*(INDEX(INDICES,5,)=indice_compo_max),INDEX(INDICES,,),0)),"")</f>
        <v>111.3</v>
      </c>
      <c r="H67" s="118" cm="1">
        <f t="array" ref="H67">IF(A67&lt;=DATE2,SUM(IF((INDEX(INDICES,,1)=A67)*(INDEX(INDICES,5,)=indice_compo_max2),INDEX(INDICES,,),0)),"")</f>
        <v>249.2</v>
      </c>
    </row>
    <row r="68" spans="1:8" x14ac:dyDescent="0.25">
      <c r="A68" s="119">
        <f t="shared" si="1"/>
        <v>44682</v>
      </c>
      <c r="B68" s="118" cm="1">
        <f t="array" ref="B68">IF(A68&lt;=DATE2,SUM(IF((INDEX(INDEX,,1)=A68)*(INDEX(INDEX,3,)="TP01"),INDEX(INDEX,,),0)),"")</f>
        <v>127.3</v>
      </c>
      <c r="C68" s="118" cm="1">
        <f t="array" ref="C68">IF(A68&lt;=DATE2,SUM(IF((INDEX(INDEX,,1)=A68)*(INDEX(INDEX,3,)=index_choisi),INDEX(INDEX,,),0)),"")</f>
        <v>133.30000000000001</v>
      </c>
      <c r="D68" s="118" cm="1">
        <f t="array" ref="D68">IF(A68&lt;=DATE2,SUM(IF((INDEX(INDICES,,1)=A68)*(INDEX(INDICES,5,)="Matériel"),INDEX(INDICES,,),0)),"")</f>
        <v>113.2</v>
      </c>
      <c r="E68" s="118" cm="1">
        <f t="array" ref="E68">IF(A68&lt;=DATE2,SUM(IF((INDEX(INDICES,,1)=A68)*(INDEX(INDICES,5,)="Travail"),INDEX(INDICES,,),0)),"")</f>
        <v>123.5</v>
      </c>
      <c r="F68" s="118" cm="1">
        <f t="array" ref="F68">IF(A68&lt;=DATE2,SUM(IF((INDEX(INDICES,,1)=A68)*(INDEX(INDICES,5,)="GNR"),INDEX(INDICES,,),0)),"")</f>
        <v>188.8</v>
      </c>
      <c r="G68" s="118" cm="1">
        <f t="array" ref="G68">IF(A68&lt;=DATE2,SUM(IF((INDEX(INDICES,,1)=A68)*(INDEX(INDICES,5,)=indice_compo_max),INDEX(INDICES,,),0)),"")</f>
        <v>112.6</v>
      </c>
      <c r="H68" s="118" cm="1">
        <f t="array" ref="H68">IF(A68&lt;=DATE2,SUM(IF((INDEX(INDICES,,1)=A68)*(INDEX(INDICES,5,)=indice_compo_max2),INDEX(INDICES,,),0)),"")</f>
        <v>270.7</v>
      </c>
    </row>
    <row r="69" spans="1:8" x14ac:dyDescent="0.25">
      <c r="A69" s="119">
        <f t="shared" si="1"/>
        <v>44713</v>
      </c>
      <c r="B69" s="118" cm="1">
        <f t="array" ref="B69">IF(A69&lt;=DATE2,SUM(IF((INDEX(INDEX,,1)=A69)*(INDEX(INDEX,3,)="TP01"),INDEX(INDEX,,),0)),"")</f>
        <v>129.1</v>
      </c>
      <c r="C69" s="118" cm="1">
        <f t="array" ref="C69">IF(A69&lt;=DATE2,SUM(IF((INDEX(INDEX,,1)=A69)*(INDEX(INDEX,3,)=index_choisi),INDEX(INDEX,,),0)),"")</f>
        <v>132.19999999999999</v>
      </c>
      <c r="D69" s="118" cm="1">
        <f t="array" ref="D69">IF(A69&lt;=DATE2,SUM(IF((INDEX(INDICES,,1)=A69)*(INDEX(INDICES,5,)="Matériel"),INDEX(INDICES,,),0)),"")</f>
        <v>113.3</v>
      </c>
      <c r="E69" s="118" cm="1">
        <f t="array" ref="E69">IF(A69&lt;=DATE2,SUM(IF((INDEX(INDICES,,1)=A69)*(INDEX(INDICES,5,)="Travail"),INDEX(INDICES,,),0)),"")</f>
        <v>123.7</v>
      </c>
      <c r="F69" s="118" cm="1">
        <f t="array" ref="F69">IF(A69&lt;=DATE2,SUM(IF((INDEX(INDICES,,1)=A69)*(INDEX(INDICES,5,)="GNR"),INDEX(INDICES,,),0)),"")</f>
        <v>220</v>
      </c>
      <c r="G69" s="118" cm="1">
        <f t="array" ref="G69">IF(A69&lt;=DATE2,SUM(IF((INDEX(INDICES,,1)=A69)*(INDEX(INDICES,5,)=indice_compo_max),INDEX(INDICES,,),0)),"")</f>
        <v>112</v>
      </c>
      <c r="H69" s="118" cm="1">
        <f t="array" ref="H69">IF(A69&lt;=DATE2,SUM(IF((INDEX(INDICES,,1)=A69)*(INDEX(INDICES,5,)=indice_compo_max2),INDEX(INDICES,,),0)),"")</f>
        <v>256.3</v>
      </c>
    </row>
    <row r="70" spans="1:8" x14ac:dyDescent="0.25">
      <c r="A70" s="119">
        <f t="shared" si="1"/>
        <v>44743</v>
      </c>
      <c r="B70" s="118" cm="1">
        <f t="array" ref="B70">IF(A70&lt;=DATE2,SUM(IF((INDEX(INDEX,,1)=A70)*(INDEX(INDEX,3,)="TP01"),INDEX(INDEX,,),0)),"")</f>
        <v>129.1</v>
      </c>
      <c r="C70" s="118" cm="1">
        <f t="array" ref="C70">IF(A70&lt;=DATE2,SUM(IF((INDEX(INDEX,,1)=A70)*(INDEX(INDEX,3,)=index_choisi),INDEX(INDEX,,),0)),"")</f>
        <v>132.19999999999999</v>
      </c>
      <c r="D70" s="118" cm="1">
        <f t="array" ref="D70">IF(A70&lt;=DATE2,SUM(IF((INDEX(INDICES,,1)=A70)*(INDEX(INDICES,5,)="Matériel"),INDEX(INDICES,,),0)),"")</f>
        <v>116.6</v>
      </c>
      <c r="E70" s="118" cm="1">
        <f t="array" ref="E70">IF(A70&lt;=DATE2,SUM(IF((INDEX(INDICES,,1)=A70)*(INDEX(INDICES,5,)="Travail"),INDEX(INDICES,,),0)),"")</f>
        <v>123.7</v>
      </c>
      <c r="F70" s="118" cm="1">
        <f t="array" ref="F70">IF(A70&lt;=DATE2,SUM(IF((INDEX(INDICES,,1)=A70)*(INDEX(INDICES,5,)="GNR"),INDEX(INDICES,,),0)),"")</f>
        <v>198.7</v>
      </c>
      <c r="G70" s="118" cm="1">
        <f t="array" ref="G70">IF(A70&lt;=DATE2,SUM(IF((INDEX(INDICES,,1)=A70)*(INDEX(INDICES,5,)=indice_compo_max),INDEX(INDICES,,),0)),"")</f>
        <v>113.3</v>
      </c>
      <c r="H70" s="118" cm="1">
        <f t="array" ref="H70">IF(A70&lt;=DATE2,SUM(IF((INDEX(INDICES,,1)=A70)*(INDEX(INDICES,5,)=indice_compo_max2),INDEX(INDICES,,),0)),"")</f>
        <v>246.9</v>
      </c>
    </row>
    <row r="71" spans="1:8" x14ac:dyDescent="0.25">
      <c r="A71" s="119">
        <f t="shared" si="1"/>
        <v>44774</v>
      </c>
      <c r="B71" s="118" cm="1">
        <f t="array" ref="B71">IF(A71&lt;=DATE2,SUM(IF((INDEX(INDEX,,1)=A71)*(INDEX(INDEX,3,)="TP01"),INDEX(INDEX,,),0)),"")</f>
        <v>128.9</v>
      </c>
      <c r="C71" s="118" cm="1">
        <f t="array" ref="C71">IF(A71&lt;=DATE2,SUM(IF((INDEX(INDEX,,1)=A71)*(INDEX(INDEX,3,)=index_choisi),INDEX(INDEX,,),0)),"")</f>
        <v>132.1</v>
      </c>
      <c r="D71" s="118" cm="1">
        <f t="array" ref="D71">IF(A71&lt;=DATE2,SUM(IF((INDEX(INDICES,,1)=A71)*(INDEX(INDICES,5,)="Matériel"),INDEX(INDICES,,),0)),"")</f>
        <v>116.6</v>
      </c>
      <c r="E71" s="118" cm="1">
        <f t="array" ref="E71">IF(A71&lt;=DATE2,SUM(IF((INDEX(INDICES,,1)=A71)*(INDEX(INDICES,5,)="Travail"),INDEX(INDICES,,),0)),"")</f>
        <v>123.7</v>
      </c>
      <c r="F71" s="118" cm="1">
        <f t="array" ref="F71">IF(A71&lt;=DATE2,SUM(IF((INDEX(INDICES,,1)=A71)*(INDEX(INDICES,5,)="GNR"),INDEX(INDICES,,),0)),"")</f>
        <v>189.1</v>
      </c>
      <c r="G71" s="118" cm="1">
        <f t="array" ref="G71">IF(A71&lt;=DATE2,SUM(IF((INDEX(INDICES,,1)=A71)*(INDEX(INDICES,5,)=indice_compo_max),INDEX(INDICES,,),0)),"")</f>
        <v>116.6</v>
      </c>
      <c r="H71" s="118" cm="1">
        <f t="array" ref="H71">IF(A71&lt;=DATE2,SUM(IF((INDEX(INDICES,,1)=A71)*(INDEX(INDICES,5,)=indice_compo_max2),INDEX(INDICES,,),0)),"")</f>
        <v>241.2</v>
      </c>
    </row>
    <row r="72" spans="1:8" x14ac:dyDescent="0.25">
      <c r="A72" s="119">
        <f t="shared" si="1"/>
        <v>44805</v>
      </c>
      <c r="B72" s="118" cm="1">
        <f t="array" ref="B72">IF(A72&lt;=DATE2,SUM(IF((INDEX(INDEX,,1)=A72)*(INDEX(INDEX,3,)="TP01"),INDEX(INDEX,,),0)),"")</f>
        <v>128.4</v>
      </c>
      <c r="C72" s="118" cm="1">
        <f t="array" ref="C72">IF(A72&lt;=DATE2,SUM(IF((INDEX(INDEX,,1)=A72)*(INDEX(INDEX,3,)=index_choisi),INDEX(INDEX,,),0)),"")</f>
        <v>130.9</v>
      </c>
      <c r="D72" s="118" cm="1">
        <f t="array" ref="D72">IF(A72&lt;=DATE2,SUM(IF((INDEX(INDICES,,1)=A72)*(INDEX(INDICES,5,)="Matériel"),INDEX(INDICES,,),0)),"")</f>
        <v>117.1</v>
      </c>
      <c r="E72" s="118" cm="1">
        <f t="array" ref="E72">IF(A72&lt;=DATE2,SUM(IF((INDEX(INDICES,,1)=A72)*(INDEX(INDICES,5,)="Travail"),INDEX(INDICES,,),0)),"")</f>
        <v>123.7</v>
      </c>
      <c r="F72" s="118" cm="1">
        <f t="array" ref="F72">IF(A72&lt;=DATE2,SUM(IF((INDEX(INDICES,,1)=A72)*(INDEX(INDICES,5,)="GNR"),INDEX(INDICES,,),0)),"")</f>
        <v>175</v>
      </c>
      <c r="G72" s="118" cm="1">
        <f t="array" ref="G72">IF(A72&lt;=DATE2,SUM(IF((INDEX(INDICES,,1)=A72)*(INDEX(INDICES,5,)=indice_compo_max),INDEX(INDICES,,),0)),"")</f>
        <v>114.6</v>
      </c>
      <c r="H72" s="118" cm="1">
        <f t="array" ref="H72">IF(A72&lt;=DATE2,SUM(IF((INDEX(INDICES,,1)=A72)*(INDEX(INDICES,5,)=indice_compo_max2),INDEX(INDICES,,),0)),"")</f>
        <v>229.2</v>
      </c>
    </row>
    <row r="73" spans="1:8" x14ac:dyDescent="0.25">
      <c r="A73" s="119" t="str">
        <f t="shared" si="1"/>
        <v/>
      </c>
      <c r="B73" s="118" t="str" cm="1">
        <f t="array" ref="B73">IF(A73&lt;=DATE2,SUM(IF((INDEX(INDEX,,1)=A73)*(INDEX(INDEX,3,)="TP01"),INDEX(INDEX,,),0)),"")</f>
        <v/>
      </c>
      <c r="C73" s="118" t="str" cm="1">
        <f t="array" ref="C73">IF(A73&lt;=DATE2,SUM(IF((INDEX(INDEX,,1)=A73)*(INDEX(INDEX,3,)=index_choisi),INDEX(INDEX,,),0)),"")</f>
        <v/>
      </c>
      <c r="D73" s="118" t="str" cm="1">
        <f t="array" ref="D73">IF(A73&lt;=DATE2,SUM(IF((INDEX(INDICES,,1)=A73)*(INDEX(INDICES,5,)="Matériel"),INDEX(INDICES,,),0)),"")</f>
        <v/>
      </c>
      <c r="E73" s="118" t="str" cm="1">
        <f t="array" ref="E73">IF(A73&lt;=DATE2,SUM(IF((INDEX(INDICES,,1)=A73)*(INDEX(INDICES,5,)="Travail"),INDEX(INDICES,,),0)),"")</f>
        <v/>
      </c>
      <c r="F73" s="118" t="str" cm="1">
        <f t="array" ref="F73">IF(A73&lt;=DATE2,SUM(IF((INDEX(INDICES,,1)=A73)*(INDEX(INDICES,5,)="GNR"),INDEX(INDICES,,),0)),"")</f>
        <v/>
      </c>
      <c r="G73" s="118" t="str" cm="1">
        <f t="array" ref="G73">IF(A73&lt;=DATE2,SUM(IF((INDEX(INDICES,,1)=A73)*(INDEX(INDICES,5,)=indice_compo_max),INDEX(INDICES,,),0)),"")</f>
        <v/>
      </c>
      <c r="H73" s="118" t="str" cm="1">
        <f t="array" ref="H73">IF(A73&lt;=DATE2,SUM(IF((INDEX(INDICES,,1)=A73)*(INDEX(INDICES,5,)=indice_compo_max2),INDEX(INDICES,,),0)),"")</f>
        <v/>
      </c>
    </row>
    <row r="74" spans="1:8" x14ac:dyDescent="0.25">
      <c r="A74" s="119" t="str">
        <f t="shared" si="1"/>
        <v/>
      </c>
      <c r="B74" s="118" t="str" cm="1">
        <f t="array" ref="B74">IF(A74&lt;=DATE2,SUM(IF((INDEX(INDEX,,1)=A74)*(INDEX(INDEX,3,)="TP01"),INDEX(INDEX,,),0)),"")</f>
        <v/>
      </c>
      <c r="C74" s="118" t="str" cm="1">
        <f t="array" ref="C74">IF(A74&lt;=DATE2,SUM(IF((INDEX(INDEX,,1)=A74)*(INDEX(INDEX,3,)=index_choisi),INDEX(INDEX,,),0)),"")</f>
        <v/>
      </c>
      <c r="D74" s="118" t="str" cm="1">
        <f t="array" ref="D74">IF(A74&lt;=DATE2,SUM(IF((INDEX(INDICES,,1)=A74)*(INDEX(INDICES,5,)="Matériel"),INDEX(INDICES,,),0)),"")</f>
        <v/>
      </c>
      <c r="E74" s="118" t="str" cm="1">
        <f t="array" ref="E74">IF(A74&lt;=DATE2,SUM(IF((INDEX(INDICES,,1)=A74)*(INDEX(INDICES,5,)="Travail"),INDEX(INDICES,,),0)),"")</f>
        <v/>
      </c>
      <c r="F74" s="118" t="str" cm="1">
        <f t="array" ref="F74">IF(A74&lt;=DATE2,SUM(IF((INDEX(INDICES,,1)=A74)*(INDEX(INDICES,5,)="GNR"),INDEX(INDICES,,),0)),"")</f>
        <v/>
      </c>
      <c r="G74" s="118" t="str" cm="1">
        <f t="array" ref="G74">IF(A74&lt;=DATE2,SUM(IF((INDEX(INDICES,,1)=A74)*(INDEX(INDICES,5,)=indice_compo_max),INDEX(INDICES,,),0)),"")</f>
        <v/>
      </c>
      <c r="H74" s="118" t="str" cm="1">
        <f t="array" ref="H74">IF(A74&lt;=DATE2,SUM(IF((INDEX(INDICES,,1)=A74)*(INDEX(INDICES,5,)=indice_compo_max2),INDEX(INDICES,,),0)),"")</f>
        <v/>
      </c>
    </row>
    <row r="75" spans="1:8" x14ac:dyDescent="0.25">
      <c r="A75" s="119" t="str">
        <f t="shared" si="1"/>
        <v/>
      </c>
      <c r="B75" s="118" t="str" cm="1">
        <f t="array" ref="B75">IF(A75&lt;=DATE2,SUM(IF((INDEX(INDEX,,1)=A75)*(INDEX(INDEX,3,)="TP01"),INDEX(INDEX,,),0)),"")</f>
        <v/>
      </c>
      <c r="C75" s="118" t="str" cm="1">
        <f t="array" ref="C75">IF(A75&lt;=DATE2,SUM(IF((INDEX(INDEX,,1)=A75)*(INDEX(INDEX,3,)=index_choisi),INDEX(INDEX,,),0)),"")</f>
        <v/>
      </c>
      <c r="D75" s="118" t="str" cm="1">
        <f t="array" ref="D75">IF(A75&lt;=DATE2,SUM(IF((INDEX(INDICES,,1)=A75)*(INDEX(INDICES,5,)="Matériel"),INDEX(INDICES,,),0)),"")</f>
        <v/>
      </c>
      <c r="E75" s="118" t="str" cm="1">
        <f t="array" ref="E75">IF(A75&lt;=DATE2,SUM(IF((INDEX(INDICES,,1)=A75)*(INDEX(INDICES,5,)="Travail"),INDEX(INDICES,,),0)),"")</f>
        <v/>
      </c>
      <c r="F75" s="118" t="str" cm="1">
        <f t="array" ref="F75">IF(A75&lt;=DATE2,SUM(IF((INDEX(INDICES,,1)=A75)*(INDEX(INDICES,5,)="GNR"),INDEX(INDICES,,),0)),"")</f>
        <v/>
      </c>
      <c r="G75" s="118" t="str" cm="1">
        <f t="array" ref="G75">IF(A75&lt;=DATE2,SUM(IF((INDEX(INDICES,,1)=A75)*(INDEX(INDICES,5,)=indice_compo_max),INDEX(INDICES,,),0)),"")</f>
        <v/>
      </c>
      <c r="H75" s="118" t="str" cm="1">
        <f t="array" ref="H75">IF(A75&lt;=DATE2,SUM(IF((INDEX(INDICES,,1)=A75)*(INDEX(INDICES,5,)=indice_compo_max2),INDEX(INDICES,,),0)),"")</f>
        <v/>
      </c>
    </row>
    <row r="76" spans="1:8" x14ac:dyDescent="0.25">
      <c r="A76" s="119" t="str">
        <f t="shared" si="1"/>
        <v/>
      </c>
      <c r="B76" s="118" t="str" cm="1">
        <f t="array" ref="B76">IF(A76&lt;=DATE2,SUM(IF((INDEX(INDEX,,1)=A76)*(INDEX(INDEX,3,)="TP01"),INDEX(INDEX,,),0)),"")</f>
        <v/>
      </c>
      <c r="C76" s="118" t="str" cm="1">
        <f t="array" ref="C76">IF(A76&lt;=DATE2,SUM(IF((INDEX(INDEX,,1)=A76)*(INDEX(INDEX,3,)=index_choisi),INDEX(INDEX,,),0)),"")</f>
        <v/>
      </c>
      <c r="D76" s="118" t="str" cm="1">
        <f t="array" ref="D76">IF(A76&lt;=DATE2,SUM(IF((INDEX(INDICES,,1)=A76)*(INDEX(INDICES,5,)="Matériel"),INDEX(INDICES,,),0)),"")</f>
        <v/>
      </c>
      <c r="E76" s="118" t="str" cm="1">
        <f t="array" ref="E76">IF(A76&lt;=DATE2,SUM(IF((INDEX(INDICES,,1)=A76)*(INDEX(INDICES,5,)="Travail"),INDEX(INDICES,,),0)),"")</f>
        <v/>
      </c>
      <c r="F76" s="118" t="str" cm="1">
        <f t="array" ref="F76">IF(A76&lt;=DATE2,SUM(IF((INDEX(INDICES,,1)=A76)*(INDEX(INDICES,5,)="GNR"),INDEX(INDICES,,),0)),"")</f>
        <v/>
      </c>
      <c r="G76" s="118" t="str" cm="1">
        <f t="array" ref="G76">IF(A76&lt;=DATE2,SUM(IF((INDEX(INDICES,,1)=A76)*(INDEX(INDICES,5,)=indice_compo_max),INDEX(INDICES,,),0)),"")</f>
        <v/>
      </c>
      <c r="H76" s="118" t="str" cm="1">
        <f t="array" ref="H76">IF(A76&lt;=DATE2,SUM(IF((INDEX(INDICES,,1)=A76)*(INDEX(INDICES,5,)=indice_compo_max2),INDEX(INDICES,,),0)),"")</f>
        <v/>
      </c>
    </row>
    <row r="77" spans="1:8" x14ac:dyDescent="0.25">
      <c r="A77" s="119" t="str">
        <f t="shared" si="1"/>
        <v/>
      </c>
      <c r="B77" s="118" t="str" cm="1">
        <f t="array" ref="B77">IF(A77&lt;=DATE2,SUM(IF((INDEX(INDEX,,1)=A77)*(INDEX(INDEX,3,)="TP01"),INDEX(INDEX,,),0)),"")</f>
        <v/>
      </c>
      <c r="C77" s="118" t="str" cm="1">
        <f t="array" ref="C77">IF(A77&lt;=DATE2,SUM(IF((INDEX(INDEX,,1)=A77)*(INDEX(INDEX,3,)=index_choisi),INDEX(INDEX,,),0)),"")</f>
        <v/>
      </c>
      <c r="D77" s="118" t="str" cm="1">
        <f t="array" ref="D77">IF(A77&lt;=DATE2,SUM(IF((INDEX(INDICES,,1)=A77)*(INDEX(INDICES,5,)="Matériel"),INDEX(INDICES,,),0)),"")</f>
        <v/>
      </c>
      <c r="E77" s="118" t="str" cm="1">
        <f t="array" ref="E77">IF(A77&lt;=DATE2,SUM(IF((INDEX(INDICES,,1)=A77)*(INDEX(INDICES,5,)="Travail"),INDEX(INDICES,,),0)),"")</f>
        <v/>
      </c>
      <c r="F77" s="118" t="str" cm="1">
        <f t="array" ref="F77">IF(A77&lt;=DATE2,SUM(IF((INDEX(INDICES,,1)=A77)*(INDEX(INDICES,5,)="GNR"),INDEX(INDICES,,),0)),"")</f>
        <v/>
      </c>
      <c r="G77" s="118" t="str" cm="1">
        <f t="array" ref="G77">IF(A77&lt;=DATE2,SUM(IF((INDEX(INDICES,,1)=A77)*(INDEX(INDICES,5,)=indice_compo_max),INDEX(INDICES,,),0)),"")</f>
        <v/>
      </c>
      <c r="H77" s="118" t="str" cm="1">
        <f t="array" ref="H77">IF(A77&lt;=DATE2,SUM(IF((INDEX(INDICES,,1)=A77)*(INDEX(INDICES,5,)=indice_compo_max2),INDEX(INDICES,,),0)),"")</f>
        <v/>
      </c>
    </row>
    <row r="78" spans="1:8" x14ac:dyDescent="0.25">
      <c r="A78" s="119" t="str">
        <f t="shared" si="1"/>
        <v/>
      </c>
      <c r="B78" s="118" t="str" cm="1">
        <f t="array" ref="B78">IF(A78&lt;=DATE2,SUM(IF((INDEX(INDEX,,1)=A78)*(INDEX(INDEX,3,)="TP01"),INDEX(INDEX,,),0)),"")</f>
        <v/>
      </c>
      <c r="C78" s="118" t="str" cm="1">
        <f t="array" ref="C78">IF(A78&lt;=DATE2,SUM(IF((INDEX(INDEX,,1)=A78)*(INDEX(INDEX,3,)=index_choisi),INDEX(INDEX,,),0)),"")</f>
        <v/>
      </c>
      <c r="D78" s="118" t="str" cm="1">
        <f t="array" ref="D78">IF(A78&lt;=DATE2,SUM(IF((INDEX(INDICES,,1)=A78)*(INDEX(INDICES,5,)="Matériel"),INDEX(INDICES,,),0)),"")</f>
        <v/>
      </c>
      <c r="E78" s="118" t="str" cm="1">
        <f t="array" ref="E78">IF(A78&lt;=DATE2,SUM(IF((INDEX(INDICES,,1)=A78)*(INDEX(INDICES,5,)="Travail"),INDEX(INDICES,,),0)),"")</f>
        <v/>
      </c>
      <c r="F78" s="118" t="str" cm="1">
        <f t="array" ref="F78">IF(A78&lt;=DATE2,SUM(IF((INDEX(INDICES,,1)=A78)*(INDEX(INDICES,5,)="GNR"),INDEX(INDICES,,),0)),"")</f>
        <v/>
      </c>
      <c r="G78" s="118" t="str" cm="1">
        <f t="array" ref="G78">IF(A78&lt;=DATE2,SUM(IF((INDEX(INDICES,,1)=A78)*(INDEX(INDICES,5,)=indice_compo_max),INDEX(INDICES,,),0)),"")</f>
        <v/>
      </c>
      <c r="H78" s="118" t="str" cm="1">
        <f t="array" ref="H78">IF(A78&lt;=DATE2,SUM(IF((INDEX(INDICES,,1)=A78)*(INDEX(INDICES,5,)=indice_compo_max2),INDEX(INDICES,,),0)),"")</f>
        <v/>
      </c>
    </row>
    <row r="79" spans="1:8" x14ac:dyDescent="0.25">
      <c r="A79" s="119" t="str">
        <f t="shared" si="1"/>
        <v/>
      </c>
      <c r="B79" s="118" t="str" cm="1">
        <f t="array" ref="B79">IF(A79&lt;=DATE2,SUM(IF((INDEX(INDEX,,1)=A79)*(INDEX(INDEX,3,)="TP01"),INDEX(INDEX,,),0)),"")</f>
        <v/>
      </c>
      <c r="C79" s="118" t="str" cm="1">
        <f t="array" ref="C79">IF(A79&lt;=DATE2,SUM(IF((INDEX(INDEX,,1)=A79)*(INDEX(INDEX,3,)=index_choisi),INDEX(INDEX,,),0)),"")</f>
        <v/>
      </c>
      <c r="D79" s="118" t="str" cm="1">
        <f t="array" ref="D79">IF(A79&lt;=DATE2,SUM(IF((INDEX(INDICES,,1)=A79)*(INDEX(INDICES,5,)="Matériel"),INDEX(INDICES,,),0)),"")</f>
        <v/>
      </c>
      <c r="E79" s="118" t="str" cm="1">
        <f t="array" ref="E79">IF(A79&lt;=DATE2,SUM(IF((INDEX(INDICES,,1)=A79)*(INDEX(INDICES,5,)="Travail"),INDEX(INDICES,,),0)),"")</f>
        <v/>
      </c>
      <c r="F79" s="118" t="str" cm="1">
        <f t="array" ref="F79">IF(A79&lt;=DATE2,SUM(IF((INDEX(INDICES,,1)=A79)*(INDEX(INDICES,5,)="GNR"),INDEX(INDICES,,),0)),"")</f>
        <v/>
      </c>
      <c r="G79" s="118" t="str" cm="1">
        <f t="array" ref="G79">IF(A79&lt;=DATE2,SUM(IF((INDEX(INDICES,,1)=A79)*(INDEX(INDICES,5,)=indice_compo_max),INDEX(INDICES,,),0)),"")</f>
        <v/>
      </c>
      <c r="H79" s="118" t="str" cm="1">
        <f t="array" ref="H79">IF(A79&lt;=DATE2,SUM(IF((INDEX(INDICES,,1)=A79)*(INDEX(INDICES,5,)=indice_compo_max2),INDEX(INDICES,,),0)),"")</f>
        <v/>
      </c>
    </row>
    <row r="80" spans="1:8" x14ac:dyDescent="0.25">
      <c r="A80" s="119" t="str">
        <f t="shared" si="1"/>
        <v/>
      </c>
      <c r="B80" s="118" t="str" cm="1">
        <f t="array" ref="B80">IF(A80&lt;=DATE2,SUM(IF((INDEX(INDEX,,1)=A80)*(INDEX(INDEX,3,)="TP01"),INDEX(INDEX,,),0)),"")</f>
        <v/>
      </c>
      <c r="C80" s="118" t="str" cm="1">
        <f t="array" ref="C80">IF(A80&lt;=DATE2,SUM(IF((INDEX(INDEX,,1)=A80)*(INDEX(INDEX,3,)=index_choisi),INDEX(INDEX,,),0)),"")</f>
        <v/>
      </c>
      <c r="D80" s="118" t="str" cm="1">
        <f t="array" ref="D80">IF(A80&lt;=DATE2,SUM(IF((INDEX(INDICES,,1)=A80)*(INDEX(INDICES,5,)="Matériel"),INDEX(INDICES,,),0)),"")</f>
        <v/>
      </c>
      <c r="E80" s="118" t="str" cm="1">
        <f t="array" ref="E80">IF(A80&lt;=DATE2,SUM(IF((INDEX(INDICES,,1)=A80)*(INDEX(INDICES,5,)="Travail"),INDEX(INDICES,,),0)),"")</f>
        <v/>
      </c>
      <c r="F80" s="118" t="str" cm="1">
        <f t="array" ref="F80">IF(A80&lt;=DATE2,SUM(IF((INDEX(INDICES,,1)=A80)*(INDEX(INDICES,5,)="GNR"),INDEX(INDICES,,),0)),"")</f>
        <v/>
      </c>
      <c r="G80" s="118" t="str" cm="1">
        <f t="array" ref="G80">IF(A80&lt;=DATE2,SUM(IF((INDEX(INDICES,,1)=A80)*(INDEX(INDICES,5,)=indice_compo_max),INDEX(INDICES,,),0)),"")</f>
        <v/>
      </c>
      <c r="H80" s="118" t="str" cm="1">
        <f t="array" ref="H80">IF(A80&lt;=DATE2,SUM(IF((INDEX(INDICES,,1)=A80)*(INDEX(INDICES,5,)=indice_compo_max2),INDEX(INDICES,,),0)),"")</f>
        <v/>
      </c>
    </row>
    <row r="81" spans="1:8" x14ac:dyDescent="0.25">
      <c r="A81" s="119" t="str">
        <f t="shared" ref="A81:A102" si="2">IF(A80&lt;DATE2,EDATE(A80,1),"")</f>
        <v/>
      </c>
      <c r="B81" s="118" t="str" cm="1">
        <f t="array" ref="B81">IF(A81&lt;=DATE2,SUM(IF((INDEX(INDEX,,1)=A81)*(INDEX(INDEX,3,)="TP01"),INDEX(INDEX,,),0)),"")</f>
        <v/>
      </c>
      <c r="C81" s="118" t="str" cm="1">
        <f t="array" ref="C81">IF(A81&lt;=DATE2,SUM(IF((INDEX(INDEX,,1)=A81)*(INDEX(INDEX,3,)=index_choisi),INDEX(INDEX,,),0)),"")</f>
        <v/>
      </c>
      <c r="D81" s="118" t="str" cm="1">
        <f t="array" ref="D81">IF(A81&lt;=DATE2,SUM(IF((INDEX(INDICES,,1)=A81)*(INDEX(INDICES,5,)="Matériel"),INDEX(INDICES,,),0)),"")</f>
        <v/>
      </c>
      <c r="E81" s="118" t="str" cm="1">
        <f t="array" ref="E81">IF(A81&lt;=DATE2,SUM(IF((INDEX(INDICES,,1)=A81)*(INDEX(INDICES,5,)="Travail"),INDEX(INDICES,,),0)),"")</f>
        <v/>
      </c>
      <c r="F81" s="118" t="str" cm="1">
        <f t="array" ref="F81">IF(A81&lt;=DATE2,SUM(IF((INDEX(INDICES,,1)=A81)*(INDEX(INDICES,5,)="GNR"),INDEX(INDICES,,),0)),"")</f>
        <v/>
      </c>
      <c r="G81" s="118" t="str" cm="1">
        <f t="array" ref="G81">IF(A81&lt;=DATE2,SUM(IF((INDEX(INDICES,,1)=A81)*(INDEX(INDICES,5,)=indice_compo_max),INDEX(INDICES,,),0)),"")</f>
        <v/>
      </c>
      <c r="H81" s="118" t="str" cm="1">
        <f t="array" ref="H81">IF(A81&lt;=DATE2,SUM(IF((INDEX(INDICES,,1)=A81)*(INDEX(INDICES,5,)=indice_compo_max2),INDEX(INDICES,,),0)),"")</f>
        <v/>
      </c>
    </row>
    <row r="82" spans="1:8" x14ac:dyDescent="0.25">
      <c r="A82" s="119" t="str">
        <f t="shared" si="2"/>
        <v/>
      </c>
      <c r="B82" s="118" t="str" cm="1">
        <f t="array" ref="B82">IF(A82&lt;=DATE2,SUM(IF((INDEX(INDEX,,1)=A82)*(INDEX(INDEX,3,)="TP01"),INDEX(INDEX,,),0)),"")</f>
        <v/>
      </c>
      <c r="C82" s="118" t="str" cm="1">
        <f t="array" ref="C82">IF(A82&lt;=DATE2,SUM(IF((INDEX(INDEX,,1)=A82)*(INDEX(INDEX,3,)=index_choisi),INDEX(INDEX,,),0)),"")</f>
        <v/>
      </c>
      <c r="D82" s="118" t="str" cm="1">
        <f t="array" ref="D82">IF(A82&lt;=DATE2,SUM(IF((INDEX(INDICES,,1)=A82)*(INDEX(INDICES,5,)="Matériel"),INDEX(INDICES,,),0)),"")</f>
        <v/>
      </c>
      <c r="E82" s="118" t="str" cm="1">
        <f t="array" ref="E82">IF(A82&lt;=DATE2,SUM(IF((INDEX(INDICES,,1)=A82)*(INDEX(INDICES,5,)="Travail"),INDEX(INDICES,,),0)),"")</f>
        <v/>
      </c>
      <c r="F82" s="118" t="str" cm="1">
        <f t="array" ref="F82">IF(A82&lt;=DATE2,SUM(IF((INDEX(INDICES,,1)=A82)*(INDEX(INDICES,5,)="GNR"),INDEX(INDICES,,),0)),"")</f>
        <v/>
      </c>
      <c r="G82" s="118" t="str" cm="1">
        <f t="array" ref="G82">IF(A82&lt;=DATE2,SUM(IF((INDEX(INDICES,,1)=A82)*(INDEX(INDICES,5,)=indice_compo_max),INDEX(INDICES,,),0)),"")</f>
        <v/>
      </c>
      <c r="H82" s="118" t="str" cm="1">
        <f t="array" ref="H82">IF(A82&lt;=DATE2,SUM(IF((INDEX(INDICES,,1)=A82)*(INDEX(INDICES,5,)=indice_compo_max2),INDEX(INDICES,,),0)),"")</f>
        <v/>
      </c>
    </row>
    <row r="83" spans="1:8" x14ac:dyDescent="0.25">
      <c r="A83" s="119" t="str">
        <f t="shared" si="2"/>
        <v/>
      </c>
      <c r="B83" s="118" t="str" cm="1">
        <f t="array" ref="B83">IF(A83&lt;=DATE2,SUM(IF((INDEX(INDEX,,1)=A83)*(INDEX(INDEX,3,)="TP01"),INDEX(INDEX,,),0)),"")</f>
        <v/>
      </c>
      <c r="C83" s="118" t="str" cm="1">
        <f t="array" ref="C83">IF(A83&lt;=DATE2,SUM(IF((INDEX(INDEX,,1)=A83)*(INDEX(INDEX,3,)=index_choisi),INDEX(INDEX,,),0)),"")</f>
        <v/>
      </c>
      <c r="D83" s="118" t="str" cm="1">
        <f t="array" ref="D83">IF(A83&lt;=DATE2,SUM(IF((INDEX(INDICES,,1)=A83)*(INDEX(INDICES,5,)="Matériel"),INDEX(INDICES,,),0)),"")</f>
        <v/>
      </c>
      <c r="E83" s="118" t="str" cm="1">
        <f t="array" ref="E83">IF(A83&lt;=DATE2,SUM(IF((INDEX(INDICES,,1)=A83)*(INDEX(INDICES,5,)="Travail"),INDEX(INDICES,,),0)),"")</f>
        <v/>
      </c>
      <c r="F83" s="118" t="str" cm="1">
        <f t="array" ref="F83">IF(A83&lt;=DATE2,SUM(IF((INDEX(INDICES,,1)=A83)*(INDEX(INDICES,5,)="GNR"),INDEX(INDICES,,),0)),"")</f>
        <v/>
      </c>
      <c r="G83" s="118" t="str" cm="1">
        <f t="array" ref="G83">IF(A83&lt;=DATE2,SUM(IF((INDEX(INDICES,,1)=A83)*(INDEX(INDICES,5,)=indice_compo_max),INDEX(INDICES,,),0)),"")</f>
        <v/>
      </c>
      <c r="H83" s="118" t="str" cm="1">
        <f t="array" ref="H83">IF(A83&lt;=DATE2,SUM(IF((INDEX(INDICES,,1)=A83)*(INDEX(INDICES,5,)=indice_compo_max2),INDEX(INDICES,,),0)),"")</f>
        <v/>
      </c>
    </row>
    <row r="84" spans="1:8" x14ac:dyDescent="0.25">
      <c r="A84" s="119" t="str">
        <f t="shared" si="2"/>
        <v/>
      </c>
      <c r="B84" s="118" t="str" cm="1">
        <f t="array" ref="B84">IF(A84&lt;=DATE2,SUM(IF((INDEX(INDEX,,1)=A84)*(INDEX(INDEX,3,)="TP01"),INDEX(INDEX,,),0)),"")</f>
        <v/>
      </c>
      <c r="C84" s="118" t="str" cm="1">
        <f t="array" ref="C84">IF(A84&lt;=DATE2,SUM(IF((INDEX(INDEX,,1)=A84)*(INDEX(INDEX,3,)=index_choisi),INDEX(INDEX,,),0)),"")</f>
        <v/>
      </c>
      <c r="D84" s="118" t="str" cm="1">
        <f t="array" ref="D84">IF(A84&lt;=DATE2,SUM(IF((INDEX(INDICES,,1)=A84)*(INDEX(INDICES,5,)="Matériel"),INDEX(INDICES,,),0)),"")</f>
        <v/>
      </c>
      <c r="E84" s="118" t="str" cm="1">
        <f t="array" ref="E84">IF(A84&lt;=DATE2,SUM(IF((INDEX(INDICES,,1)=A84)*(INDEX(INDICES,5,)="Travail"),INDEX(INDICES,,),0)),"")</f>
        <v/>
      </c>
      <c r="F84" s="118" t="str" cm="1">
        <f t="array" ref="F84">IF(A84&lt;=DATE2,SUM(IF((INDEX(INDICES,,1)=A84)*(INDEX(INDICES,5,)="GNR"),INDEX(INDICES,,),0)),"")</f>
        <v/>
      </c>
      <c r="G84" s="118" t="str" cm="1">
        <f t="array" ref="G84">IF(A84&lt;=DATE2,SUM(IF((INDEX(INDICES,,1)=A84)*(INDEX(INDICES,5,)=indice_compo_max),INDEX(INDICES,,),0)),"")</f>
        <v/>
      </c>
      <c r="H84" s="118" t="str" cm="1">
        <f t="array" ref="H84">IF(A84&lt;=DATE2,SUM(IF((INDEX(INDICES,,1)=A84)*(INDEX(INDICES,5,)=indice_compo_max2),INDEX(INDICES,,),0)),"")</f>
        <v/>
      </c>
    </row>
    <row r="85" spans="1:8" x14ac:dyDescent="0.25">
      <c r="A85" s="119" t="str">
        <f t="shared" si="2"/>
        <v/>
      </c>
      <c r="B85" s="118" t="str" cm="1">
        <f t="array" ref="B85">IF(A85&lt;=DATE2,SUM(IF((INDEX(INDEX,,1)=A85)*(INDEX(INDEX,3,)="TP01"),INDEX(INDEX,,),0)),"")</f>
        <v/>
      </c>
      <c r="C85" s="118" t="str" cm="1">
        <f t="array" ref="C85">IF(A85&lt;=DATE2,SUM(IF((INDEX(INDEX,,1)=A85)*(INDEX(INDEX,3,)=index_choisi),INDEX(INDEX,,),0)),"")</f>
        <v/>
      </c>
      <c r="D85" s="118" t="str" cm="1">
        <f t="array" ref="D85">IF(A85&lt;=DATE2,SUM(IF((INDEX(INDICES,,1)=A85)*(INDEX(INDICES,5,)="Matériel"),INDEX(INDICES,,),0)),"")</f>
        <v/>
      </c>
      <c r="E85" s="118" t="str" cm="1">
        <f t="array" ref="E85">IF(A85&lt;=DATE2,SUM(IF((INDEX(INDICES,,1)=A85)*(INDEX(INDICES,5,)="Travail"),INDEX(INDICES,,),0)),"")</f>
        <v/>
      </c>
      <c r="F85" s="118" t="str" cm="1">
        <f t="array" ref="F85">IF(A85&lt;=DATE2,SUM(IF((INDEX(INDICES,,1)=A85)*(INDEX(INDICES,5,)="GNR"),INDEX(INDICES,,),0)),"")</f>
        <v/>
      </c>
      <c r="G85" s="118" t="str" cm="1">
        <f t="array" ref="G85">IF(A85&lt;=DATE2,SUM(IF((INDEX(INDICES,,1)=A85)*(INDEX(INDICES,5,)=indice_compo_max),INDEX(INDICES,,),0)),"")</f>
        <v/>
      </c>
      <c r="H85" s="118" t="str" cm="1">
        <f t="array" ref="H85">IF(A85&lt;=DATE2,SUM(IF((INDEX(INDICES,,1)=A85)*(INDEX(INDICES,5,)=indice_compo_max2),INDEX(INDICES,,),0)),"")</f>
        <v/>
      </c>
    </row>
    <row r="86" spans="1:8" x14ac:dyDescent="0.25">
      <c r="A86" s="119" t="str">
        <f t="shared" si="2"/>
        <v/>
      </c>
      <c r="B86" s="118" t="str" cm="1">
        <f t="array" ref="B86">IF(A86&lt;=DATE2,SUM(IF((INDEX(INDEX,,1)=A86)*(INDEX(INDEX,3,)="TP01"),INDEX(INDEX,,),0)),"")</f>
        <v/>
      </c>
      <c r="C86" s="118" t="str" cm="1">
        <f t="array" ref="C86">IF(A86&lt;=DATE2,SUM(IF((INDEX(INDEX,,1)=A86)*(INDEX(INDEX,3,)=index_choisi),INDEX(INDEX,,),0)),"")</f>
        <v/>
      </c>
      <c r="D86" s="118" t="str" cm="1">
        <f t="array" ref="D86">IF(A86&lt;=DATE2,SUM(IF((INDEX(INDICES,,1)=A86)*(INDEX(INDICES,5,)="Matériel"),INDEX(INDICES,,),0)),"")</f>
        <v/>
      </c>
      <c r="E86" s="118" t="str" cm="1">
        <f t="array" ref="E86">IF(A86&lt;=DATE2,SUM(IF((INDEX(INDICES,,1)=A86)*(INDEX(INDICES,5,)="Travail"),INDEX(INDICES,,),0)),"")</f>
        <v/>
      </c>
      <c r="F86" s="118" t="str" cm="1">
        <f t="array" ref="F86">IF(A86&lt;=DATE2,SUM(IF((INDEX(INDICES,,1)=A86)*(INDEX(INDICES,5,)="GNR"),INDEX(INDICES,,),0)),"")</f>
        <v/>
      </c>
      <c r="G86" s="118" t="str" cm="1">
        <f t="array" ref="G86">IF(A86&lt;=DATE2,SUM(IF((INDEX(INDICES,,1)=A86)*(INDEX(INDICES,5,)=indice_compo_max),INDEX(INDICES,,),0)),"")</f>
        <v/>
      </c>
      <c r="H86" s="118" t="str" cm="1">
        <f t="array" ref="H86">IF(A86&lt;=DATE2,SUM(IF((INDEX(INDICES,,1)=A86)*(INDEX(INDICES,5,)=indice_compo_max2),INDEX(INDICES,,),0)),"")</f>
        <v/>
      </c>
    </row>
    <row r="87" spans="1:8" x14ac:dyDescent="0.25">
      <c r="A87" s="119" t="str">
        <f t="shared" si="2"/>
        <v/>
      </c>
      <c r="B87" s="118" t="str" cm="1">
        <f t="array" ref="B87">IF(A87&lt;=DATE2,SUM(IF((INDEX(INDEX,,1)=A87)*(INDEX(INDEX,3,)="TP01"),INDEX(INDEX,,),0)),"")</f>
        <v/>
      </c>
      <c r="C87" s="118" t="str" cm="1">
        <f t="array" ref="C87">IF(A87&lt;=DATE2,SUM(IF((INDEX(INDEX,,1)=A87)*(INDEX(INDEX,3,)=index_choisi),INDEX(INDEX,,),0)),"")</f>
        <v/>
      </c>
      <c r="D87" s="118" t="str" cm="1">
        <f t="array" ref="D87">IF(A87&lt;=DATE2,SUM(IF((INDEX(INDICES,,1)=A87)*(INDEX(INDICES,5,)="Matériel"),INDEX(INDICES,,),0)),"")</f>
        <v/>
      </c>
      <c r="E87" s="118" t="str" cm="1">
        <f t="array" ref="E87">IF(A87&lt;=DATE2,SUM(IF((INDEX(INDICES,,1)=A87)*(INDEX(INDICES,5,)="Travail"),INDEX(INDICES,,),0)),"")</f>
        <v/>
      </c>
      <c r="F87" s="118" t="str" cm="1">
        <f t="array" ref="F87">IF(A87&lt;=DATE2,SUM(IF((INDEX(INDICES,,1)=A87)*(INDEX(INDICES,5,)="GNR"),INDEX(INDICES,,),0)),"")</f>
        <v/>
      </c>
      <c r="G87" s="118" t="str" cm="1">
        <f t="array" ref="G87">IF(A87&lt;=DATE2,SUM(IF((INDEX(INDICES,,1)=A87)*(INDEX(INDICES,5,)=indice_compo_max),INDEX(INDICES,,),0)),"")</f>
        <v/>
      </c>
      <c r="H87" s="118" t="str" cm="1">
        <f t="array" ref="H87">IF(A87&lt;=DATE2,SUM(IF((INDEX(INDICES,,1)=A87)*(INDEX(INDICES,5,)=indice_compo_max2),INDEX(INDICES,,),0)),"")</f>
        <v/>
      </c>
    </row>
    <row r="88" spans="1:8" x14ac:dyDescent="0.25">
      <c r="A88" s="119" t="str">
        <f t="shared" si="2"/>
        <v/>
      </c>
      <c r="B88" s="118" t="str" cm="1">
        <f t="array" ref="B88">IF(A88&lt;=DATE2,SUM(IF((INDEX(INDEX,,1)=A88)*(INDEX(INDEX,3,)="TP01"),INDEX(INDEX,,),0)),"")</f>
        <v/>
      </c>
      <c r="C88" s="118" t="str" cm="1">
        <f t="array" ref="C88">IF(A88&lt;=DATE2,SUM(IF((INDEX(INDEX,,1)=A88)*(INDEX(INDEX,3,)=index_choisi),INDEX(INDEX,,),0)),"")</f>
        <v/>
      </c>
      <c r="D88" s="118" t="str" cm="1">
        <f t="array" ref="D88">IF(A88&lt;=DATE2,SUM(IF((INDEX(INDICES,,1)=A88)*(INDEX(INDICES,5,)="Matériel"),INDEX(INDICES,,),0)),"")</f>
        <v/>
      </c>
      <c r="E88" s="118" t="str" cm="1">
        <f t="array" ref="E88">IF(A88&lt;=DATE2,SUM(IF((INDEX(INDICES,,1)=A88)*(INDEX(INDICES,5,)="Travail"),INDEX(INDICES,,),0)),"")</f>
        <v/>
      </c>
      <c r="F88" s="118" t="str" cm="1">
        <f t="array" ref="F88">IF(A88&lt;=DATE2,SUM(IF((INDEX(INDICES,,1)=A88)*(INDEX(INDICES,5,)="GNR"),INDEX(INDICES,,),0)),"")</f>
        <v/>
      </c>
      <c r="G88" s="118" t="str" cm="1">
        <f t="array" ref="G88">IF(A88&lt;=DATE2,SUM(IF((INDEX(INDICES,,1)=A88)*(INDEX(INDICES,5,)=indice_compo_max),INDEX(INDICES,,),0)),"")</f>
        <v/>
      </c>
      <c r="H88" s="118" t="str" cm="1">
        <f t="array" ref="H88">IF(A88&lt;=DATE2,SUM(IF((INDEX(INDICES,,1)=A88)*(INDEX(INDICES,5,)=indice_compo_max2),INDEX(INDICES,,),0)),"")</f>
        <v/>
      </c>
    </row>
    <row r="89" spans="1:8" x14ac:dyDescent="0.25">
      <c r="A89" s="119" t="str">
        <f t="shared" si="2"/>
        <v/>
      </c>
      <c r="B89" s="118" t="str" cm="1">
        <f t="array" ref="B89">IF(A89&lt;=DATE2,SUM(IF((INDEX(INDEX,,1)=A89)*(INDEX(INDEX,3,)="TP01"),INDEX(INDEX,,),0)),"")</f>
        <v/>
      </c>
      <c r="C89" s="118" t="str" cm="1">
        <f t="array" ref="C89">IF(A89&lt;=DATE2,SUM(IF((INDEX(INDEX,,1)=A89)*(INDEX(INDEX,3,)=index_choisi),INDEX(INDEX,,),0)),"")</f>
        <v/>
      </c>
      <c r="D89" s="118" t="str" cm="1">
        <f t="array" ref="D89">IF(A89&lt;=DATE2,SUM(IF((INDEX(INDICES,,1)=A89)*(INDEX(INDICES,5,)="Matériel"),INDEX(INDICES,,),0)),"")</f>
        <v/>
      </c>
      <c r="E89" s="118" t="str" cm="1">
        <f t="array" ref="E89">IF(A89&lt;=DATE2,SUM(IF((INDEX(INDICES,,1)=A89)*(INDEX(INDICES,5,)="Travail"),INDEX(INDICES,,),0)),"")</f>
        <v/>
      </c>
      <c r="F89" s="118" t="str" cm="1">
        <f t="array" ref="F89">IF(A89&lt;=DATE2,SUM(IF((INDEX(INDICES,,1)=A89)*(INDEX(INDICES,5,)="GNR"),INDEX(INDICES,,),0)),"")</f>
        <v/>
      </c>
      <c r="G89" s="118" t="str" cm="1">
        <f t="array" ref="G89">IF(A89&lt;=DATE2,SUM(IF((INDEX(INDICES,,1)=A89)*(INDEX(INDICES,5,)=indice_compo_max),INDEX(INDICES,,),0)),"")</f>
        <v/>
      </c>
      <c r="H89" s="118" t="str" cm="1">
        <f t="array" ref="H89">IF(A89&lt;=DATE2,SUM(IF((INDEX(INDICES,,1)=A89)*(INDEX(INDICES,5,)=indice_compo_max2),INDEX(INDICES,,),0)),"")</f>
        <v/>
      </c>
    </row>
    <row r="90" spans="1:8" x14ac:dyDescent="0.25">
      <c r="A90" s="119" t="str">
        <f t="shared" si="2"/>
        <v/>
      </c>
      <c r="B90" s="118" t="str" cm="1">
        <f t="array" ref="B90">IF(A90&lt;=DATE2,SUM(IF((INDEX(INDEX,,1)=A90)*(INDEX(INDEX,3,)="TP01"),INDEX(INDEX,,),0)),"")</f>
        <v/>
      </c>
      <c r="C90" s="118" t="str" cm="1">
        <f t="array" ref="C90">IF(A90&lt;=DATE2,SUM(IF((INDEX(INDEX,,1)=A90)*(INDEX(INDEX,3,)=index_choisi),INDEX(INDEX,,),0)),"")</f>
        <v/>
      </c>
      <c r="D90" s="118" t="str" cm="1">
        <f t="array" ref="D90">IF(A90&lt;=DATE2,SUM(IF((INDEX(INDICES,,1)=A90)*(INDEX(INDICES,5,)="Matériel"),INDEX(INDICES,,),0)),"")</f>
        <v/>
      </c>
      <c r="E90" s="118" t="str" cm="1">
        <f t="array" ref="E90">IF(A90&lt;=DATE2,SUM(IF((INDEX(INDICES,,1)=A90)*(INDEX(INDICES,5,)="Travail"),INDEX(INDICES,,),0)),"")</f>
        <v/>
      </c>
      <c r="F90" s="118" t="str" cm="1">
        <f t="array" ref="F90">IF(A90&lt;=DATE2,SUM(IF((INDEX(INDICES,,1)=A90)*(INDEX(INDICES,5,)="GNR"),INDEX(INDICES,,),0)),"")</f>
        <v/>
      </c>
      <c r="G90" s="118" t="str" cm="1">
        <f t="array" ref="G90">IF(A90&lt;=DATE2,SUM(IF((INDEX(INDICES,,1)=A90)*(INDEX(INDICES,5,)=indice_compo_max),INDEX(INDICES,,),0)),"")</f>
        <v/>
      </c>
      <c r="H90" s="118" t="str" cm="1">
        <f t="array" ref="H90">IF(A90&lt;=DATE2,SUM(IF((INDEX(INDICES,,1)=A90)*(INDEX(INDICES,5,)=indice_compo_max2),INDEX(INDICES,,),0)),"")</f>
        <v/>
      </c>
    </row>
    <row r="91" spans="1:8" x14ac:dyDescent="0.25">
      <c r="A91" s="119" t="str">
        <f t="shared" si="2"/>
        <v/>
      </c>
      <c r="B91" s="118" t="str" cm="1">
        <f t="array" ref="B91">IF(A91&lt;=DATE2,SUM(IF((INDEX(INDEX,,1)=A91)*(INDEX(INDEX,3,)="TP01"),INDEX(INDEX,,),0)),"")</f>
        <v/>
      </c>
      <c r="C91" s="118" t="str" cm="1">
        <f t="array" ref="C91">IF(A91&lt;=DATE2,SUM(IF((INDEX(INDEX,,1)=A91)*(INDEX(INDEX,3,)=index_choisi),INDEX(INDEX,,),0)),"")</f>
        <v/>
      </c>
      <c r="D91" s="118" t="str" cm="1">
        <f t="array" ref="D91">IF(A91&lt;=DATE2,SUM(IF((INDEX(INDICES,,1)=A91)*(INDEX(INDICES,5,)="Matériel"),INDEX(INDICES,,),0)),"")</f>
        <v/>
      </c>
      <c r="E91" s="118" t="str" cm="1">
        <f t="array" ref="E91">IF(A91&lt;=DATE2,SUM(IF((INDEX(INDICES,,1)=A91)*(INDEX(INDICES,5,)="Travail"),INDEX(INDICES,,),0)),"")</f>
        <v/>
      </c>
      <c r="F91" s="118" t="str" cm="1">
        <f t="array" ref="F91">IF(A91&lt;=DATE2,SUM(IF((INDEX(INDICES,,1)=A91)*(INDEX(INDICES,5,)="GNR"),INDEX(INDICES,,),0)),"")</f>
        <v/>
      </c>
      <c r="G91" s="118" t="str" cm="1">
        <f t="array" ref="G91">IF(A91&lt;=DATE2,SUM(IF((INDEX(INDICES,,1)=A91)*(INDEX(INDICES,5,)=indice_compo_max),INDEX(INDICES,,),0)),"")</f>
        <v/>
      </c>
      <c r="H91" s="118" t="str" cm="1">
        <f t="array" ref="H91">IF(A91&lt;=DATE2,SUM(IF((INDEX(INDICES,,1)=A91)*(INDEX(INDICES,5,)=indice_compo_max2),INDEX(INDICES,,),0)),"")</f>
        <v/>
      </c>
    </row>
    <row r="92" spans="1:8" x14ac:dyDescent="0.25">
      <c r="A92" s="119" t="str">
        <f t="shared" si="2"/>
        <v/>
      </c>
      <c r="B92" s="118" t="str" cm="1">
        <f t="array" ref="B92">IF(A92&lt;=DATE2,SUM(IF((INDEX(INDEX,,1)=A92)*(INDEX(INDEX,3,)="TP01"),INDEX(INDEX,,),0)),"")</f>
        <v/>
      </c>
      <c r="C92" s="118" t="str" cm="1">
        <f t="array" ref="C92">IF(A92&lt;=DATE2,SUM(IF((INDEX(INDEX,,1)=A92)*(INDEX(INDEX,3,)=index_choisi),INDEX(INDEX,,),0)),"")</f>
        <v/>
      </c>
      <c r="D92" s="118" t="str" cm="1">
        <f t="array" ref="D92">IF(A92&lt;=DATE2,SUM(IF((INDEX(INDICES,,1)=A92)*(INDEX(INDICES,5,)="Matériel"),INDEX(INDICES,,),0)),"")</f>
        <v/>
      </c>
      <c r="E92" s="118" t="str" cm="1">
        <f t="array" ref="E92">IF(A92&lt;=DATE2,SUM(IF((INDEX(INDICES,,1)=A92)*(INDEX(INDICES,5,)="Travail"),INDEX(INDICES,,),0)),"")</f>
        <v/>
      </c>
      <c r="F92" s="118" t="str" cm="1">
        <f t="array" ref="F92">IF(A92&lt;=DATE2,SUM(IF((INDEX(INDICES,,1)=A92)*(INDEX(INDICES,5,)="GNR"),INDEX(INDICES,,),0)),"")</f>
        <v/>
      </c>
      <c r="G92" s="118" t="str" cm="1">
        <f t="array" ref="G92">IF(A92&lt;=DATE2,SUM(IF((INDEX(INDICES,,1)=A92)*(INDEX(INDICES,5,)=indice_compo_max),INDEX(INDICES,,),0)),"")</f>
        <v/>
      </c>
      <c r="H92" s="118" t="str" cm="1">
        <f t="array" ref="H92">IF(A92&lt;=DATE2,SUM(IF((INDEX(INDICES,,1)=A92)*(INDEX(INDICES,5,)=indice_compo_max2),INDEX(INDICES,,),0)),"")</f>
        <v/>
      </c>
    </row>
    <row r="93" spans="1:8" x14ac:dyDescent="0.25">
      <c r="A93" s="119" t="str">
        <f t="shared" si="2"/>
        <v/>
      </c>
      <c r="B93" s="118" t="str" cm="1">
        <f t="array" ref="B93">IF(A93&lt;=DATE2,SUM(IF((INDEX(INDEX,,1)=A93)*(INDEX(INDEX,3,)="TP01"),INDEX(INDEX,,),0)),"")</f>
        <v/>
      </c>
      <c r="C93" s="118" t="str" cm="1">
        <f t="array" ref="C93">IF(A93&lt;=DATE2,SUM(IF((INDEX(INDEX,,1)=A93)*(INDEX(INDEX,3,)=index_choisi),INDEX(INDEX,,),0)),"")</f>
        <v/>
      </c>
      <c r="D93" s="118" t="str" cm="1">
        <f t="array" ref="D93">IF(A93&lt;=DATE2,SUM(IF((INDEX(INDICES,,1)=A93)*(INDEX(INDICES,5,)="Matériel"),INDEX(INDICES,,),0)),"")</f>
        <v/>
      </c>
      <c r="E93" s="118" t="str" cm="1">
        <f t="array" ref="E93">IF(A93&lt;=DATE2,SUM(IF((INDEX(INDICES,,1)=A93)*(INDEX(INDICES,5,)="Travail"),INDEX(INDICES,,),0)),"")</f>
        <v/>
      </c>
      <c r="F93" s="118" t="str" cm="1">
        <f t="array" ref="F93">IF(A93&lt;=DATE2,SUM(IF((INDEX(INDICES,,1)=A93)*(INDEX(INDICES,5,)="GNR"),INDEX(INDICES,,),0)),"")</f>
        <v/>
      </c>
      <c r="G93" s="118" t="str" cm="1">
        <f t="array" ref="G93">IF(A93&lt;=DATE2,SUM(IF((INDEX(INDICES,,1)=A93)*(INDEX(INDICES,5,)=indice_compo_max),INDEX(INDICES,,),0)),"")</f>
        <v/>
      </c>
      <c r="H93" s="118" t="str" cm="1">
        <f t="array" ref="H93">IF(A93&lt;=DATE2,SUM(IF((INDEX(INDICES,,1)=A93)*(INDEX(INDICES,5,)=indice_compo_max2),INDEX(INDICES,,),0)),"")</f>
        <v/>
      </c>
    </row>
    <row r="94" spans="1:8" x14ac:dyDescent="0.25">
      <c r="A94" s="119" t="str">
        <f t="shared" si="2"/>
        <v/>
      </c>
      <c r="B94" s="118" t="str" cm="1">
        <f t="array" ref="B94">IF(A94&lt;=DATE2,SUM(IF((INDEX(INDEX,,1)=A94)*(INDEX(INDEX,3,)="TP01"),INDEX(INDEX,,),0)),"")</f>
        <v/>
      </c>
      <c r="C94" s="118" t="str" cm="1">
        <f t="array" ref="C94">IF(A94&lt;=DATE2,SUM(IF((INDEX(INDEX,,1)=A94)*(INDEX(INDEX,3,)=index_choisi),INDEX(INDEX,,),0)),"")</f>
        <v/>
      </c>
      <c r="D94" s="118" t="str" cm="1">
        <f t="array" ref="D94">IF(A94&lt;=DATE2,SUM(IF((INDEX(INDICES,,1)=A94)*(INDEX(INDICES,5,)="Matériel"),INDEX(INDICES,,),0)),"")</f>
        <v/>
      </c>
      <c r="E94" s="118" t="str" cm="1">
        <f t="array" ref="E94">IF(A94&lt;=DATE2,SUM(IF((INDEX(INDICES,,1)=A94)*(INDEX(INDICES,5,)="Travail"),INDEX(INDICES,,),0)),"")</f>
        <v/>
      </c>
      <c r="F94" s="118" t="str" cm="1">
        <f t="array" ref="F94">IF(A94&lt;=DATE2,SUM(IF((INDEX(INDICES,,1)=A94)*(INDEX(INDICES,5,)="GNR"),INDEX(INDICES,,),0)),"")</f>
        <v/>
      </c>
      <c r="G94" s="118" t="str" cm="1">
        <f t="array" ref="G94">IF(A94&lt;=DATE2,SUM(IF((INDEX(INDICES,,1)=A94)*(INDEX(INDICES,5,)=indice_compo_max),INDEX(INDICES,,),0)),"")</f>
        <v/>
      </c>
      <c r="H94" s="118" t="str" cm="1">
        <f t="array" ref="H94">IF(A94&lt;=DATE2,SUM(IF((INDEX(INDICES,,1)=A94)*(INDEX(INDICES,5,)=indice_compo_max2),INDEX(INDICES,,),0)),"")</f>
        <v/>
      </c>
    </row>
    <row r="95" spans="1:8" x14ac:dyDescent="0.25">
      <c r="A95" s="119" t="str">
        <f t="shared" si="2"/>
        <v/>
      </c>
      <c r="B95" s="118" t="str" cm="1">
        <f t="array" ref="B95">IF(A95&lt;=DATE2,SUM(IF((INDEX(INDEX,,1)=A95)*(INDEX(INDEX,3,)="TP01"),INDEX(INDEX,,),0)),"")</f>
        <v/>
      </c>
      <c r="C95" s="118" t="str" cm="1">
        <f t="array" ref="C95">IF(A95&lt;=DATE2,SUM(IF((INDEX(INDEX,,1)=A95)*(INDEX(INDEX,3,)=index_choisi),INDEX(INDEX,,),0)),"")</f>
        <v/>
      </c>
      <c r="D95" s="118" t="str" cm="1">
        <f t="array" ref="D95">IF(A95&lt;=DATE2,SUM(IF((INDEX(INDICES,,1)=A95)*(INDEX(INDICES,5,)="Matériel"),INDEX(INDICES,,),0)),"")</f>
        <v/>
      </c>
      <c r="E95" s="118" t="str" cm="1">
        <f t="array" ref="E95">IF(A95&lt;=DATE2,SUM(IF((INDEX(INDICES,,1)=A95)*(INDEX(INDICES,5,)="Travail"),INDEX(INDICES,,),0)),"")</f>
        <v/>
      </c>
      <c r="F95" s="118" t="str" cm="1">
        <f t="array" ref="F95">IF(A95&lt;=DATE2,SUM(IF((INDEX(INDICES,,1)=A95)*(INDEX(INDICES,5,)="GNR"),INDEX(INDICES,,),0)),"")</f>
        <v/>
      </c>
      <c r="G95" s="118" t="str" cm="1">
        <f t="array" ref="G95">IF(A95&lt;=DATE2,SUM(IF((INDEX(INDICES,,1)=A95)*(INDEX(INDICES,5,)=indice_compo_max),INDEX(INDICES,,),0)),"")</f>
        <v/>
      </c>
      <c r="H95" s="118" t="str" cm="1">
        <f t="array" ref="H95">IF(A95&lt;=DATE2,SUM(IF((INDEX(INDICES,,1)=A95)*(INDEX(INDICES,5,)=indice_compo_max2),INDEX(INDICES,,),0)),"")</f>
        <v/>
      </c>
    </row>
    <row r="96" spans="1:8" x14ac:dyDescent="0.25">
      <c r="A96" s="119" t="str">
        <f t="shared" si="2"/>
        <v/>
      </c>
      <c r="B96" s="118" t="str" cm="1">
        <f t="array" ref="B96">IF(A96&lt;=DATE2,SUM(IF((INDEX(INDEX,,1)=A96)*(INDEX(INDEX,3,)="TP01"),INDEX(INDEX,,),0)),"")</f>
        <v/>
      </c>
      <c r="C96" s="118" t="str" cm="1">
        <f t="array" ref="C96">IF(A96&lt;=DATE2,SUM(IF((INDEX(INDEX,,1)=A96)*(INDEX(INDEX,3,)=index_choisi),INDEX(INDEX,,),0)),"")</f>
        <v/>
      </c>
      <c r="D96" s="118" t="str" cm="1">
        <f t="array" ref="D96">IF(A96&lt;=DATE2,SUM(IF((INDEX(INDICES,,1)=A96)*(INDEX(INDICES,5,)="Matériel"),INDEX(INDICES,,),0)),"")</f>
        <v/>
      </c>
      <c r="E96" s="118" t="str" cm="1">
        <f t="array" ref="E96">IF(A96&lt;=DATE2,SUM(IF((INDEX(INDICES,,1)=A96)*(INDEX(INDICES,5,)="Travail"),INDEX(INDICES,,),0)),"")</f>
        <v/>
      </c>
      <c r="F96" s="118" t="str" cm="1">
        <f t="array" ref="F96">IF(A96&lt;=DATE2,SUM(IF((INDEX(INDICES,,1)=A96)*(INDEX(INDICES,5,)="GNR"),INDEX(INDICES,,),0)),"")</f>
        <v/>
      </c>
      <c r="G96" s="118" t="str" cm="1">
        <f t="array" ref="G96">IF(A96&lt;=DATE2,SUM(IF((INDEX(INDICES,,1)=A96)*(INDEX(INDICES,5,)=indice_compo_max),INDEX(INDICES,,),0)),"")</f>
        <v/>
      </c>
      <c r="H96" s="118" t="str" cm="1">
        <f t="array" ref="H96">IF(A96&lt;=DATE2,SUM(IF((INDEX(INDICES,,1)=A96)*(INDEX(INDICES,5,)=indice_compo_max2),INDEX(INDICES,,),0)),"")</f>
        <v/>
      </c>
    </row>
    <row r="97" spans="1:8" x14ac:dyDescent="0.25">
      <c r="A97" s="119" t="str">
        <f t="shared" si="2"/>
        <v/>
      </c>
      <c r="B97" s="118" t="str" cm="1">
        <f t="array" ref="B97">IF(A97&lt;=DATE2,SUM(IF((INDEX(INDEX,,1)=A97)*(INDEX(INDEX,3,)="TP01"),INDEX(INDEX,,),0)),"")</f>
        <v/>
      </c>
      <c r="C97" s="118" t="str" cm="1">
        <f t="array" ref="C97">IF(A97&lt;=DATE2,SUM(IF((INDEX(INDEX,,1)=A97)*(INDEX(INDEX,3,)=index_choisi),INDEX(INDEX,,),0)),"")</f>
        <v/>
      </c>
      <c r="D97" s="118" t="str" cm="1">
        <f t="array" ref="D97">IF(A97&lt;=DATE2,SUM(IF((INDEX(INDICES,,1)=A97)*(INDEX(INDICES,5,)="Matériel"),INDEX(INDICES,,),0)),"")</f>
        <v/>
      </c>
      <c r="E97" s="118" t="str" cm="1">
        <f t="array" ref="E97">IF(A97&lt;=DATE2,SUM(IF((INDEX(INDICES,,1)=A97)*(INDEX(INDICES,5,)="Travail"),INDEX(INDICES,,),0)),"")</f>
        <v/>
      </c>
      <c r="F97" s="118" t="str" cm="1">
        <f t="array" ref="F97">IF(A97&lt;=DATE2,SUM(IF((INDEX(INDICES,,1)=A97)*(INDEX(INDICES,5,)="GNR"),INDEX(INDICES,,),0)),"")</f>
        <v/>
      </c>
      <c r="G97" s="118" t="str" cm="1">
        <f t="array" ref="G97">IF(A97&lt;=DATE2,SUM(IF((INDEX(INDICES,,1)=A97)*(INDEX(INDICES,5,)=indice_compo_max),INDEX(INDICES,,),0)),"")</f>
        <v/>
      </c>
      <c r="H97" s="118" t="str" cm="1">
        <f t="array" ref="H97">IF(A97&lt;=DATE2,SUM(IF((INDEX(INDICES,,1)=A97)*(INDEX(INDICES,5,)=indice_compo_max2),INDEX(INDICES,,),0)),"")</f>
        <v/>
      </c>
    </row>
    <row r="98" spans="1:8" x14ac:dyDescent="0.25">
      <c r="A98" s="119" t="str">
        <f t="shared" si="2"/>
        <v/>
      </c>
      <c r="B98" s="118" t="str" cm="1">
        <f t="array" ref="B98">IF(A98&lt;=DATE2,SUM(IF((INDEX(INDEX,,1)=A98)*(INDEX(INDEX,3,)="TP01"),INDEX(INDEX,,),0)),"")</f>
        <v/>
      </c>
      <c r="C98" s="118" t="str" cm="1">
        <f t="array" ref="C98">IF(A98&lt;=DATE2,SUM(IF((INDEX(INDEX,,1)=A98)*(INDEX(INDEX,3,)=index_choisi),INDEX(INDEX,,),0)),"")</f>
        <v/>
      </c>
      <c r="D98" s="118" t="str" cm="1">
        <f t="array" ref="D98">IF(A98&lt;=DATE2,SUM(IF((INDEX(INDICES,,1)=A98)*(INDEX(INDICES,5,)="Matériel"),INDEX(INDICES,,),0)),"")</f>
        <v/>
      </c>
      <c r="E98" s="118" t="str" cm="1">
        <f t="array" ref="E98">IF(A98&lt;=DATE2,SUM(IF((INDEX(INDICES,,1)=A98)*(INDEX(INDICES,5,)="Travail"),INDEX(INDICES,,),0)),"")</f>
        <v/>
      </c>
      <c r="F98" s="118" t="str" cm="1">
        <f t="array" ref="F98">IF(A98&lt;=DATE2,SUM(IF((INDEX(INDICES,,1)=A98)*(INDEX(INDICES,5,)="GNR"),INDEX(INDICES,,),0)),"")</f>
        <v/>
      </c>
      <c r="G98" s="118" t="str" cm="1">
        <f t="array" ref="G98">IF(A98&lt;=DATE2,SUM(IF((INDEX(INDICES,,1)=A98)*(INDEX(INDICES,5,)=indice_compo_max),INDEX(INDICES,,),0)),"")</f>
        <v/>
      </c>
      <c r="H98" s="118" t="str" cm="1">
        <f t="array" ref="H98">IF(A98&lt;=DATE2,SUM(IF((INDEX(INDICES,,1)=A98)*(INDEX(INDICES,5,)=indice_compo_max2),INDEX(INDICES,,),0)),"")</f>
        <v/>
      </c>
    </row>
    <row r="99" spans="1:8" x14ac:dyDescent="0.25">
      <c r="A99" s="119" t="str">
        <f t="shared" si="2"/>
        <v/>
      </c>
      <c r="B99" s="118" t="str" cm="1">
        <f t="array" ref="B99">IF(A99&lt;=DATE2,SUM(IF((INDEX(INDEX,,1)=A99)*(INDEX(INDEX,3,)="TP01"),INDEX(INDEX,,),0)),"")</f>
        <v/>
      </c>
      <c r="C99" s="118" t="str" cm="1">
        <f t="array" ref="C99">IF(A99&lt;=DATE2,SUM(IF((INDEX(INDEX,,1)=A99)*(INDEX(INDEX,3,)=index_choisi),INDEX(INDEX,,),0)),"")</f>
        <v/>
      </c>
      <c r="D99" s="118" t="str" cm="1">
        <f t="array" ref="D99">IF(A99&lt;=DATE2,SUM(IF((INDEX(INDICES,,1)=A99)*(INDEX(INDICES,5,)="Matériel"),INDEX(INDICES,,),0)),"")</f>
        <v/>
      </c>
      <c r="E99" s="118" t="str" cm="1">
        <f t="array" ref="E99">IF(A99&lt;=DATE2,SUM(IF((INDEX(INDICES,,1)=A99)*(INDEX(INDICES,5,)="Travail"),INDEX(INDICES,,),0)),"")</f>
        <v/>
      </c>
      <c r="F99" s="118" t="str" cm="1">
        <f t="array" ref="F99">IF(A99&lt;=DATE2,SUM(IF((INDEX(INDICES,,1)=A99)*(INDEX(INDICES,5,)="GNR"),INDEX(INDICES,,),0)),"")</f>
        <v/>
      </c>
      <c r="G99" s="118" t="str" cm="1">
        <f t="array" ref="G99">IF(A99&lt;=DATE2,SUM(IF((INDEX(INDICES,,1)=A99)*(INDEX(INDICES,5,)=indice_compo_max),INDEX(INDICES,,),0)),"")</f>
        <v/>
      </c>
      <c r="H99" s="118" t="str" cm="1">
        <f t="array" ref="H99">IF(A99&lt;=DATE2,SUM(IF((INDEX(INDICES,,1)=A99)*(INDEX(INDICES,5,)=indice_compo_max2),INDEX(INDICES,,),0)),"")</f>
        <v/>
      </c>
    </row>
    <row r="100" spans="1:8" x14ac:dyDescent="0.25">
      <c r="A100" s="119" t="str">
        <f t="shared" si="2"/>
        <v/>
      </c>
      <c r="B100" s="118" t="str" cm="1">
        <f t="array" ref="B100">IF(A100&lt;=DATE2,SUM(IF((INDEX(INDEX,,1)=A100)*(INDEX(INDEX,3,)="TP01"),INDEX(INDEX,,),0)),"")</f>
        <v/>
      </c>
      <c r="C100" s="118" t="str" cm="1">
        <f t="array" ref="C100">IF(A100&lt;=DATE2,SUM(IF((INDEX(INDEX,,1)=A100)*(INDEX(INDEX,3,)=index_choisi),INDEX(INDEX,,),0)),"")</f>
        <v/>
      </c>
      <c r="D100" s="118" t="str" cm="1">
        <f t="array" ref="D100">IF(A100&lt;=DATE2,SUM(IF((INDEX(INDICES,,1)=A100)*(INDEX(INDICES,5,)="Matériel"),INDEX(INDICES,,),0)),"")</f>
        <v/>
      </c>
      <c r="E100" s="118" t="str" cm="1">
        <f t="array" ref="E100">IF(A100&lt;=DATE2,SUM(IF((INDEX(INDICES,,1)=A100)*(INDEX(INDICES,5,)="Travail"),INDEX(INDICES,,),0)),"")</f>
        <v/>
      </c>
      <c r="F100" s="118" t="str" cm="1">
        <f t="array" ref="F100">IF(A100&lt;=DATE2,SUM(IF((INDEX(INDICES,,1)=A100)*(INDEX(INDICES,5,)="GNR"),INDEX(INDICES,,),0)),"")</f>
        <v/>
      </c>
      <c r="G100" s="118" t="str" cm="1">
        <f t="array" ref="G100">IF(A100&lt;=DATE2,SUM(IF((INDEX(INDICES,,1)=A100)*(INDEX(INDICES,5,)=indice_compo_max),INDEX(INDICES,,),0)),"")</f>
        <v/>
      </c>
      <c r="H100" s="118" t="str" cm="1">
        <f t="array" ref="H100">IF(A100&lt;=DATE2,SUM(IF((INDEX(INDICES,,1)=A100)*(INDEX(INDICES,5,)=indice_compo_max2),INDEX(INDICES,,),0)),"")</f>
        <v/>
      </c>
    </row>
    <row r="101" spans="1:8" x14ac:dyDescent="0.25">
      <c r="A101" s="119" t="str">
        <f t="shared" si="2"/>
        <v/>
      </c>
      <c r="B101" s="118" t="str" cm="1">
        <f t="array" ref="B101">IF(A101&lt;=DATE2,SUM(IF((INDEX(INDEX,,1)=A101)*(INDEX(INDEX,3,)="TP01"),INDEX(INDEX,,),0)),"")</f>
        <v/>
      </c>
      <c r="C101" s="118" t="str" cm="1">
        <f t="array" ref="C101">IF(A101&lt;=DATE2,SUM(IF((INDEX(INDEX,,1)=A101)*(INDEX(INDEX,3,)=index_choisi),INDEX(INDEX,,),0)),"")</f>
        <v/>
      </c>
      <c r="D101" s="118" t="str" cm="1">
        <f t="array" ref="D101">IF(A101&lt;=DATE2,SUM(IF((INDEX(INDICES,,1)=A101)*(INDEX(INDICES,5,)="Matériel"),INDEX(INDICES,,),0)),"")</f>
        <v/>
      </c>
      <c r="E101" s="118" t="str" cm="1">
        <f t="array" ref="E101">IF(A101&lt;=DATE2,SUM(IF((INDEX(INDICES,,1)=A101)*(INDEX(INDICES,5,)="Travail"),INDEX(INDICES,,),0)),"")</f>
        <v/>
      </c>
      <c r="F101" s="118" t="str" cm="1">
        <f t="array" ref="F101">IF(A101&lt;=DATE2,SUM(IF((INDEX(INDICES,,1)=A101)*(INDEX(INDICES,5,)="GNR"),INDEX(INDICES,,),0)),"")</f>
        <v/>
      </c>
      <c r="G101" s="118" t="str" cm="1">
        <f t="array" ref="G101">IF(A101&lt;=DATE2,SUM(IF((INDEX(INDICES,,1)=A101)*(INDEX(INDICES,5,)=indice_compo_max),INDEX(INDICES,,),0)),"")</f>
        <v/>
      </c>
      <c r="H101" s="118" t="str" cm="1">
        <f t="array" ref="H101">IF(A101&lt;=DATE2,SUM(IF((INDEX(INDICES,,1)=A101)*(INDEX(INDICES,5,)=indice_compo_max2),INDEX(INDICES,,),0)),"")</f>
        <v/>
      </c>
    </row>
    <row r="102" spans="1:8" x14ac:dyDescent="0.25">
      <c r="A102" s="119" t="str">
        <f t="shared" si="2"/>
        <v/>
      </c>
      <c r="B102" s="118" t="str" cm="1">
        <f t="array" ref="B102">IF(A102&lt;=DATE2,SUM(IF((INDEX(INDEX,,1)=A102)*(INDEX(INDEX,3,)="TP01"),INDEX(INDEX,,),0)),"")</f>
        <v/>
      </c>
      <c r="C102" s="118" t="str" cm="1">
        <f t="array" ref="C102">IF(A102&lt;=DATE2,SUM(IF((INDEX(INDEX,,1)=A102)*(INDEX(INDEX,3,)=index_choisi),INDEX(INDEX,,),0)),"")</f>
        <v/>
      </c>
      <c r="D102" s="118" t="str" cm="1">
        <f t="array" ref="D102">IF(A102&lt;=DATE2,SUM(IF((INDEX(INDICES,,1)=A102)*(INDEX(INDICES,5,)="Matériel"),INDEX(INDICES,,),0)),"")</f>
        <v/>
      </c>
      <c r="E102" s="118" t="str" cm="1">
        <f t="array" ref="E102">IF(A102&lt;=DATE2,SUM(IF((INDEX(INDICES,,1)=A102)*(INDEX(INDICES,5,)="Travail"),INDEX(INDICES,,),0)),"")</f>
        <v/>
      </c>
      <c r="F102" s="118" t="str" cm="1">
        <f t="array" ref="F102">IF(A102&lt;=DATE2,SUM(IF((INDEX(INDICES,,1)=A102)*(INDEX(INDICES,5,)="GNR"),INDEX(INDICES,,),0)),"")</f>
        <v/>
      </c>
      <c r="G102" s="118" t="str" cm="1">
        <f t="array" ref="G102">IF(A102&lt;=DATE2,SUM(IF((INDEX(INDICES,,1)=A102)*(INDEX(INDICES,5,)=indice_compo_max),INDEX(INDICES,,),0)),"")</f>
        <v/>
      </c>
      <c r="H102" s="118" t="str" cm="1">
        <f t="array" ref="H102">IF(A102&lt;=DATE2,SUM(IF((INDEX(INDICES,,1)=A102)*(INDEX(INDICES,5,)=indice_compo_max2),INDEX(INDICES,,),0)),"")</f>
        <v/>
      </c>
    </row>
    <row r="103" spans="1:8" x14ac:dyDescent="0.25">
      <c r="B103" s="127"/>
      <c r="C103" s="127"/>
      <c r="D103" s="127"/>
      <c r="E103" s="127"/>
      <c r="F103" s="127"/>
      <c r="G103" s="127"/>
      <c r="H103" s="127"/>
    </row>
  </sheetData>
  <sheetProtection algorithmName="SHA-512" hashValue="JOqfmvAdzx4yy1drEe7eQ4/CP5jc2w+sJHXF88kWKhRFdR4e+Glkfal+k+WrnenxvrZqAT4FgrYGq3fy0Az5MQ==" saltValue="LYM9YAutiJtrwhtt0224oA==" spinCount="100000" sheet="1"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X83"/>
  <sheetViews>
    <sheetView workbookViewId="0">
      <pane xSplit="1" ySplit="4" topLeftCell="B65" activePane="bottomRight" state="frozen"/>
      <selection activeCell="E56" sqref="E56"/>
      <selection pane="topRight" activeCell="E56" sqref="E56"/>
      <selection pane="bottomLeft" activeCell="E56" sqref="E56"/>
      <selection pane="bottomRight" activeCell="E56" sqref="E56"/>
    </sheetView>
  </sheetViews>
  <sheetFormatPr baseColWidth="10" defaultRowHeight="15" x14ac:dyDescent="0.25"/>
  <cols>
    <col min="1" max="1" width="10.7109375" style="136" bestFit="1" customWidth="1"/>
  </cols>
  <sheetData>
    <row r="1" spans="1:24" s="121" customFormat="1" ht="15" customHeight="1" x14ac:dyDescent="0.25">
      <c r="A1" s="136"/>
      <c r="B1" s="247" t="s">
        <v>216</v>
      </c>
      <c r="C1" s="247"/>
      <c r="D1" s="247"/>
      <c r="E1" s="247"/>
      <c r="F1" s="247"/>
    </row>
    <row r="2" spans="1:24" s="121" customFormat="1" ht="15" customHeight="1" x14ac:dyDescent="0.25">
      <c r="A2" s="136"/>
      <c r="B2" s="248"/>
      <c r="C2" s="248"/>
      <c r="D2" s="248"/>
      <c r="E2" s="248"/>
      <c r="F2" s="248"/>
    </row>
    <row r="3" spans="1:24" s="121" customFormat="1" x14ac:dyDescent="0.25">
      <c r="A3" s="146"/>
      <c r="B3" s="154" t="s">
        <v>224</v>
      </c>
      <c r="C3" s="154" t="s">
        <v>225</v>
      </c>
      <c r="D3" s="33" t="s">
        <v>226</v>
      </c>
      <c r="E3" s="33" t="s">
        <v>282</v>
      </c>
      <c r="F3" s="154" t="s">
        <v>227</v>
      </c>
      <c r="G3" s="154" t="s">
        <v>228</v>
      </c>
      <c r="H3" s="154" t="s">
        <v>229</v>
      </c>
      <c r="I3" s="154" t="s">
        <v>230</v>
      </c>
      <c r="J3" s="154" t="s">
        <v>231</v>
      </c>
      <c r="K3" s="154" t="s">
        <v>232</v>
      </c>
      <c r="L3" s="154" t="s">
        <v>233</v>
      </c>
      <c r="M3" s="154" t="s">
        <v>234</v>
      </c>
      <c r="N3" s="154" t="s">
        <v>235</v>
      </c>
      <c r="O3" s="154" t="s">
        <v>236</v>
      </c>
      <c r="P3" s="154" t="s">
        <v>237</v>
      </c>
      <c r="Q3" s="154" t="s">
        <v>238</v>
      </c>
      <c r="R3" s="154" t="s">
        <v>239</v>
      </c>
      <c r="S3" s="154" t="s">
        <v>240</v>
      </c>
      <c r="T3" s="154" t="s">
        <v>241</v>
      </c>
      <c r="U3" s="154" t="s">
        <v>242</v>
      </c>
      <c r="V3" s="154" t="s">
        <v>243</v>
      </c>
      <c r="W3" s="154" t="s">
        <v>244</v>
      </c>
      <c r="X3" s="154" t="s">
        <v>245</v>
      </c>
    </row>
    <row r="4" spans="1:24" x14ac:dyDescent="0.25">
      <c r="A4" s="147"/>
      <c r="B4" s="148" t="s">
        <v>24</v>
      </c>
      <c r="C4" s="148" t="s">
        <v>25</v>
      </c>
      <c r="D4" s="148" t="s">
        <v>26</v>
      </c>
      <c r="E4" s="148" t="s">
        <v>27</v>
      </c>
      <c r="F4" s="148" t="s">
        <v>28</v>
      </c>
      <c r="G4" s="148" t="s">
        <v>29</v>
      </c>
      <c r="H4" s="148" t="s">
        <v>30</v>
      </c>
      <c r="I4" s="148" t="s">
        <v>31</v>
      </c>
      <c r="J4" s="148" t="s">
        <v>32</v>
      </c>
      <c r="K4" s="148" t="s">
        <v>33</v>
      </c>
      <c r="L4" s="148" t="s">
        <v>34</v>
      </c>
      <c r="M4" s="148" t="s">
        <v>35</v>
      </c>
      <c r="N4" s="148" t="s">
        <v>36</v>
      </c>
      <c r="O4" s="148" t="s">
        <v>37</v>
      </c>
      <c r="P4" s="148" t="s">
        <v>38</v>
      </c>
      <c r="Q4" s="148" t="s">
        <v>39</v>
      </c>
      <c r="R4" s="148" t="s">
        <v>40</v>
      </c>
      <c r="S4" s="148" t="s">
        <v>41</v>
      </c>
      <c r="T4" s="148" t="s">
        <v>42</v>
      </c>
      <c r="U4" s="148" t="s">
        <v>43</v>
      </c>
      <c r="V4" s="148" t="s">
        <v>44</v>
      </c>
      <c r="W4" s="148" t="s">
        <v>45</v>
      </c>
      <c r="X4" s="149" t="s">
        <v>46</v>
      </c>
    </row>
    <row r="5" spans="1:24" ht="18.75" x14ac:dyDescent="0.25">
      <c r="B5" s="249" t="s">
        <v>220</v>
      </c>
      <c r="C5" s="249"/>
      <c r="D5" s="249"/>
      <c r="E5" s="249"/>
    </row>
    <row r="6" spans="1:24" x14ac:dyDescent="0.25">
      <c r="B6" s="245" t="s">
        <v>213</v>
      </c>
      <c r="C6" s="245"/>
      <c r="D6" s="245"/>
    </row>
    <row r="7" spans="1:24" x14ac:dyDescent="0.25">
      <c r="A7" s="138" cm="1">
        <f t="array" ref="A7:X7">INDEX(INDEX,MATCH(DATE(YEAR(DATE3),1,1),INDEX!A:A,0),)</f>
        <v>44562</v>
      </c>
      <c r="B7" s="55">
        <v>119.9</v>
      </c>
      <c r="C7" s="139">
        <v>125.3</v>
      </c>
      <c r="D7" s="55">
        <v>117.4</v>
      </c>
      <c r="E7" s="55">
        <v>114.2</v>
      </c>
      <c r="F7" s="55">
        <v>123.6</v>
      </c>
      <c r="G7" s="55">
        <v>121</v>
      </c>
      <c r="H7" s="55">
        <v>121.2</v>
      </c>
      <c r="I7" s="55">
        <v>124.1</v>
      </c>
      <c r="J7" s="55">
        <v>115.1</v>
      </c>
      <c r="K7" s="55">
        <v>138.69999999999999</v>
      </c>
      <c r="L7" s="55">
        <v>118.5</v>
      </c>
      <c r="M7" s="55">
        <v>121.1</v>
      </c>
      <c r="N7" s="55">
        <v>118.8</v>
      </c>
      <c r="O7" s="55">
        <v>118.3</v>
      </c>
      <c r="P7" s="55">
        <v>130.19999999999999</v>
      </c>
      <c r="Q7" s="55">
        <v>114.1</v>
      </c>
      <c r="R7" s="55">
        <v>116.9</v>
      </c>
      <c r="S7" s="55">
        <v>118.7</v>
      </c>
      <c r="T7" s="55">
        <v>117.8</v>
      </c>
      <c r="U7" s="55">
        <v>116.1</v>
      </c>
      <c r="V7" s="55">
        <v>116.3</v>
      </c>
      <c r="W7" s="55">
        <v>135.80000000000001</v>
      </c>
      <c r="X7" s="8">
        <v>118.6</v>
      </c>
    </row>
    <row r="8" spans="1:24" x14ac:dyDescent="0.25">
      <c r="A8" s="140" cm="1">
        <f t="array" ref="A8:X8">IF(A7&lt;DATE3,INDEX(INDEX,MATCH(EDATE(A7,1),INDEX!A:A,0),),"")</f>
        <v>44593</v>
      </c>
      <c r="B8" s="141">
        <v>121.3</v>
      </c>
      <c r="C8" s="141">
        <v>125.7</v>
      </c>
      <c r="D8" s="141">
        <v>118.3</v>
      </c>
      <c r="E8" s="141">
        <v>114.9</v>
      </c>
      <c r="F8" s="141">
        <v>124.4</v>
      </c>
      <c r="G8" s="141">
        <v>121.6</v>
      </c>
      <c r="H8" s="141">
        <v>121.9</v>
      </c>
      <c r="I8" s="141">
        <v>127.1</v>
      </c>
      <c r="J8" s="141">
        <v>116.3</v>
      </c>
      <c r="K8" s="141">
        <v>140</v>
      </c>
      <c r="L8" s="141">
        <v>120.7</v>
      </c>
      <c r="M8" s="141">
        <v>125.7</v>
      </c>
      <c r="N8" s="141">
        <v>119.4</v>
      </c>
      <c r="O8" s="141">
        <v>118.9</v>
      </c>
      <c r="P8" s="141">
        <v>131.19999999999999</v>
      </c>
      <c r="Q8" s="141">
        <v>114.7</v>
      </c>
      <c r="R8" s="141">
        <v>116.9</v>
      </c>
      <c r="S8" s="141">
        <v>119.9</v>
      </c>
      <c r="T8" s="141">
        <v>118.7</v>
      </c>
      <c r="U8" s="141">
        <v>116.5</v>
      </c>
      <c r="V8" s="141">
        <v>116.8</v>
      </c>
      <c r="W8" s="141">
        <v>138.5</v>
      </c>
      <c r="X8" s="142">
        <v>119.3</v>
      </c>
    </row>
    <row r="9" spans="1:24" x14ac:dyDescent="0.25">
      <c r="A9" s="140" cm="1">
        <f t="array" ref="A9:X9">IF(A8&lt;DATE3,INDEX(INDEX,MATCH(EDATE(A8,1),INDEX!A:A,0),),"")</f>
        <v>44621</v>
      </c>
      <c r="B9" s="141">
        <v>124.7</v>
      </c>
      <c r="C9" s="141">
        <v>127.2</v>
      </c>
      <c r="D9" s="141">
        <v>121.6</v>
      </c>
      <c r="E9" s="141">
        <v>118.1</v>
      </c>
      <c r="F9" s="141">
        <v>128.4</v>
      </c>
      <c r="G9" s="141">
        <v>123.4</v>
      </c>
      <c r="H9" s="141">
        <v>123.7</v>
      </c>
      <c r="I9" s="141">
        <v>138.69999999999999</v>
      </c>
      <c r="J9" s="141">
        <v>121.5</v>
      </c>
      <c r="K9" s="141">
        <v>143.80000000000001</v>
      </c>
      <c r="L9" s="141">
        <v>125.6</v>
      </c>
      <c r="M9" s="141">
        <v>134.30000000000001</v>
      </c>
      <c r="N9" s="141">
        <v>121</v>
      </c>
      <c r="O9" s="141">
        <v>120.8</v>
      </c>
      <c r="P9" s="141">
        <v>132.6</v>
      </c>
      <c r="Q9" s="141">
        <v>116.4</v>
      </c>
      <c r="R9" s="141">
        <v>119.2</v>
      </c>
      <c r="S9" s="141">
        <v>121.2</v>
      </c>
      <c r="T9" s="141">
        <v>120.5</v>
      </c>
      <c r="U9" s="141">
        <v>117.4</v>
      </c>
      <c r="V9" s="141">
        <v>117.3</v>
      </c>
      <c r="W9" s="141">
        <v>136.5</v>
      </c>
      <c r="X9" s="142">
        <v>121.4</v>
      </c>
    </row>
    <row r="10" spans="1:24" x14ac:dyDescent="0.25">
      <c r="A10" s="140" cm="1">
        <f t="array" ref="A10:X10">IF(A9&lt;DATE3,INDEX(INDEX,MATCH(EDATE(A9,1),INDEX!A:A,0),),"")</f>
        <v>44652</v>
      </c>
      <c r="B10" s="141">
        <v>126.6</v>
      </c>
      <c r="C10" s="141">
        <v>131</v>
      </c>
      <c r="D10" s="141">
        <v>120.9</v>
      </c>
      <c r="E10" s="141">
        <v>118.4</v>
      </c>
      <c r="F10" s="141">
        <v>131.30000000000001</v>
      </c>
      <c r="G10" s="141">
        <v>126.2</v>
      </c>
      <c r="H10" s="141">
        <v>126.1</v>
      </c>
      <c r="I10" s="141">
        <v>133.69999999999999</v>
      </c>
      <c r="J10" s="141">
        <v>119.3</v>
      </c>
      <c r="K10" s="141">
        <v>153.35</v>
      </c>
      <c r="L10" s="141">
        <v>128.19999999999999</v>
      </c>
      <c r="M10" s="141">
        <v>141.69999999999999</v>
      </c>
      <c r="N10" s="141">
        <v>121.8</v>
      </c>
      <c r="O10" s="141">
        <v>121.1</v>
      </c>
      <c r="P10" s="141">
        <v>136.69999999999999</v>
      </c>
      <c r="Q10" s="141">
        <v>117.8</v>
      </c>
      <c r="R10" s="141">
        <v>120.7</v>
      </c>
      <c r="S10" s="141">
        <v>121.7</v>
      </c>
      <c r="T10" s="141">
        <v>121.6</v>
      </c>
      <c r="U10" s="141">
        <v>117.4</v>
      </c>
      <c r="V10" s="141">
        <v>117.6</v>
      </c>
      <c r="W10" s="141">
        <v>137.19999999999999</v>
      </c>
      <c r="X10" s="142">
        <v>120.7</v>
      </c>
    </row>
    <row r="11" spans="1:24" x14ac:dyDescent="0.25">
      <c r="A11" s="140" cm="1">
        <f t="array" ref="A11:X11">IF(A10&lt;DATE3,INDEX(INDEX,MATCH(EDATE(A10,1),INDEX!A:A,0),),"")</f>
        <v>44682</v>
      </c>
      <c r="B11" s="141">
        <v>127.3</v>
      </c>
      <c r="C11" s="141">
        <v>133.30000000000001</v>
      </c>
      <c r="D11" s="141">
        <v>121.7</v>
      </c>
      <c r="E11" s="141">
        <v>120.9</v>
      </c>
      <c r="F11" s="141">
        <v>134</v>
      </c>
      <c r="G11" s="141">
        <v>128.19999999999999</v>
      </c>
      <c r="H11" s="141">
        <v>127.2</v>
      </c>
      <c r="I11" s="141">
        <v>134.30000000000001</v>
      </c>
      <c r="J11" s="141">
        <v>119.4</v>
      </c>
      <c r="K11" s="141">
        <v>158.69999999999999</v>
      </c>
      <c r="L11" s="141">
        <v>128.1</v>
      </c>
      <c r="M11" s="141">
        <v>140</v>
      </c>
      <c r="N11" s="141">
        <v>123.2</v>
      </c>
      <c r="O11" s="141">
        <v>121.3</v>
      </c>
      <c r="P11" s="141">
        <v>139.69999999999999</v>
      </c>
      <c r="Q11" s="141">
        <v>117.8</v>
      </c>
      <c r="R11" s="141">
        <v>123.6</v>
      </c>
      <c r="S11" s="141">
        <v>122.4</v>
      </c>
      <c r="T11" s="141">
        <v>122.3</v>
      </c>
      <c r="U11" s="141">
        <v>117.9</v>
      </c>
      <c r="V11" s="141">
        <v>118.1</v>
      </c>
      <c r="W11" s="141">
        <v>137.30000000000001</v>
      </c>
      <c r="X11" s="142">
        <v>121.3</v>
      </c>
    </row>
    <row r="12" spans="1:24" x14ac:dyDescent="0.25">
      <c r="A12" s="140" cm="1">
        <f t="array" ref="A12:X12">IF(A11&lt;DATE3,INDEX(INDEX,MATCH(EDATE(A11,1),INDEX!A:A,0),),"")</f>
        <v>44713</v>
      </c>
      <c r="B12" s="141">
        <v>129.1</v>
      </c>
      <c r="C12" s="141">
        <v>132.19999999999999</v>
      </c>
      <c r="D12" s="141">
        <v>124.3</v>
      </c>
      <c r="E12" s="141">
        <v>122.9</v>
      </c>
      <c r="F12" s="141">
        <v>134.1</v>
      </c>
      <c r="G12" s="141">
        <v>127.7</v>
      </c>
      <c r="H12" s="141">
        <v>126.6</v>
      </c>
      <c r="I12" s="141">
        <v>141.80000000000001</v>
      </c>
      <c r="J12" s="141">
        <v>122.5</v>
      </c>
      <c r="K12" s="141">
        <v>161.4</v>
      </c>
      <c r="L12" s="141">
        <v>130.69999999999999</v>
      </c>
      <c r="M12" s="141">
        <v>143.80000000000001</v>
      </c>
      <c r="N12" s="141">
        <v>124.5</v>
      </c>
      <c r="O12" s="141">
        <v>122.3</v>
      </c>
      <c r="P12" s="141">
        <v>139</v>
      </c>
      <c r="Q12" s="141">
        <v>119.9</v>
      </c>
      <c r="R12" s="141">
        <v>126.4</v>
      </c>
      <c r="S12" s="141">
        <v>123.9</v>
      </c>
      <c r="T12" s="141">
        <v>125.4</v>
      </c>
      <c r="U12" s="141">
        <v>118.9</v>
      </c>
      <c r="V12" s="141">
        <v>118.7</v>
      </c>
      <c r="W12" s="141">
        <v>138.80000000000001</v>
      </c>
      <c r="X12" s="142">
        <v>122.9</v>
      </c>
    </row>
    <row r="13" spans="1:24" x14ac:dyDescent="0.25">
      <c r="A13" s="140" cm="1">
        <f t="array" ref="A13:X13">IF(A12&lt;DATE3,INDEX(INDEX,MATCH(EDATE(A12,1),INDEX!A:A,0),),"")</f>
        <v>44743</v>
      </c>
      <c r="B13" s="141">
        <v>129.1</v>
      </c>
      <c r="C13" s="141">
        <v>132.19999999999999</v>
      </c>
      <c r="D13" s="141">
        <v>124.3</v>
      </c>
      <c r="E13" s="141">
        <v>124.2</v>
      </c>
      <c r="F13" s="141">
        <v>133</v>
      </c>
      <c r="G13" s="141">
        <v>127.9</v>
      </c>
      <c r="H13" s="141">
        <v>127.1</v>
      </c>
      <c r="I13" s="141">
        <v>139.9</v>
      </c>
      <c r="J13" s="141">
        <v>122.2</v>
      </c>
      <c r="K13" s="141">
        <v>161.6</v>
      </c>
      <c r="L13" s="141">
        <v>130.5</v>
      </c>
      <c r="M13" s="141">
        <v>142.5</v>
      </c>
      <c r="N13" s="141">
        <v>125.1</v>
      </c>
      <c r="O13" s="141">
        <v>122.7</v>
      </c>
      <c r="P13" s="141">
        <v>138.69999999999999</v>
      </c>
      <c r="Q13" s="141">
        <v>122.6</v>
      </c>
      <c r="R13" s="141">
        <v>128.69999999999999</v>
      </c>
      <c r="S13" s="141">
        <v>124.3</v>
      </c>
      <c r="T13" s="141">
        <v>128.30000000000001</v>
      </c>
      <c r="U13" s="141">
        <v>119.5</v>
      </c>
      <c r="V13" s="141">
        <v>119.3</v>
      </c>
      <c r="W13" s="141">
        <v>140.19999999999999</v>
      </c>
      <c r="X13" s="142">
        <v>123.4</v>
      </c>
    </row>
    <row r="14" spans="1:24" x14ac:dyDescent="0.25">
      <c r="A14" s="140" cm="1">
        <f t="array" ref="A14:X14">IF(A13&lt;DATE3,INDEX(INDEX,MATCH(EDATE(A13,1),INDEX!A:A,0),),"")</f>
        <v>44774</v>
      </c>
      <c r="B14" s="141">
        <v>128.9</v>
      </c>
      <c r="C14" s="141">
        <v>132.1</v>
      </c>
      <c r="D14" s="141">
        <v>123.8</v>
      </c>
      <c r="E14" s="141">
        <v>122.3</v>
      </c>
      <c r="F14" s="141">
        <v>132.19999999999999</v>
      </c>
      <c r="G14" s="141">
        <v>127.8</v>
      </c>
      <c r="H14" s="141">
        <v>127.1</v>
      </c>
      <c r="I14" s="141">
        <v>136</v>
      </c>
      <c r="J14" s="141">
        <v>121.4</v>
      </c>
      <c r="K14" s="141">
        <v>152.1</v>
      </c>
      <c r="L14" s="141">
        <v>130</v>
      </c>
      <c r="M14" s="141">
        <v>142.19999999999999</v>
      </c>
      <c r="N14" s="141">
        <v>125</v>
      </c>
      <c r="O14" s="141">
        <v>122.3</v>
      </c>
      <c r="P14" s="141">
        <v>137.5</v>
      </c>
      <c r="Q14" s="141">
        <v>123.3</v>
      </c>
      <c r="R14" s="141">
        <v>128.9</v>
      </c>
      <c r="S14" s="141">
        <v>124.1</v>
      </c>
      <c r="T14" s="141">
        <v>128.69999999999999</v>
      </c>
      <c r="U14" s="141">
        <v>119.3</v>
      </c>
      <c r="V14" s="141">
        <v>119.6</v>
      </c>
      <c r="W14" s="141">
        <v>159.80000000000001</v>
      </c>
      <c r="X14" s="142">
        <v>123.3</v>
      </c>
    </row>
    <row r="15" spans="1:24" x14ac:dyDescent="0.25">
      <c r="A15" s="140" cm="1">
        <f t="array" ref="A15:X15">IF(A14&lt;DATE3,INDEX(INDEX,MATCH(EDATE(A14,1),INDEX!A:A,0),),"")</f>
        <v>44805</v>
      </c>
      <c r="B15" s="141">
        <v>128.4</v>
      </c>
      <c r="C15" s="141">
        <v>130.9</v>
      </c>
      <c r="D15" s="141">
        <v>123.1</v>
      </c>
      <c r="E15" s="141">
        <v>120.1</v>
      </c>
      <c r="F15" s="141">
        <v>130.6</v>
      </c>
      <c r="G15" s="141">
        <v>126.4</v>
      </c>
      <c r="H15" s="141">
        <v>126</v>
      </c>
      <c r="I15" s="141">
        <v>131.19999999999999</v>
      </c>
      <c r="J15" s="141">
        <v>120.3</v>
      </c>
      <c r="K15" s="141">
        <v>150.9</v>
      </c>
      <c r="L15" s="141">
        <v>130.19999999999999</v>
      </c>
      <c r="M15" s="141">
        <v>144.69999999999999</v>
      </c>
      <c r="N15" s="141">
        <v>124.8</v>
      </c>
      <c r="O15" s="141">
        <v>122.1</v>
      </c>
      <c r="P15" s="141">
        <v>136</v>
      </c>
      <c r="Q15" s="141">
        <v>120.9</v>
      </c>
      <c r="R15" s="141">
        <v>127.6</v>
      </c>
      <c r="S15" s="141">
        <v>123.2</v>
      </c>
      <c r="T15" s="141">
        <v>125.7</v>
      </c>
      <c r="U15" s="141">
        <v>119.1</v>
      </c>
      <c r="V15" s="141">
        <v>119.3</v>
      </c>
      <c r="W15" s="141">
        <v>140.69999999999999</v>
      </c>
      <c r="X15" s="142">
        <v>122.2</v>
      </c>
    </row>
    <row r="16" spans="1:24" x14ac:dyDescent="0.25">
      <c r="A16" s="140" t="str" cm="1">
        <f t="array" ref="A16">IF(A15&lt;DATE3,INDEX(INDEX,MATCH(EDATE(A15,1),INDEX!A:A,0),),"")</f>
        <v/>
      </c>
      <c r="B16" s="141"/>
      <c r="C16" s="141"/>
      <c r="D16" s="141"/>
      <c r="E16" s="141"/>
      <c r="F16" s="141"/>
      <c r="G16" s="141"/>
      <c r="H16" s="141"/>
      <c r="I16" s="141"/>
      <c r="J16" s="141"/>
      <c r="K16" s="141"/>
      <c r="L16" s="141"/>
      <c r="M16" s="141"/>
      <c r="N16" s="141"/>
      <c r="O16" s="141"/>
      <c r="P16" s="141"/>
      <c r="Q16" s="141"/>
      <c r="R16" s="141"/>
      <c r="S16" s="141"/>
      <c r="T16" s="141"/>
      <c r="U16" s="141"/>
      <c r="V16" s="141"/>
      <c r="W16" s="141"/>
      <c r="X16" s="142"/>
    </row>
    <row r="17" spans="1:24" x14ac:dyDescent="0.25">
      <c r="A17" s="140" t="str" cm="1">
        <f t="array" ref="A17">IF(A16&lt;DATE3,INDEX(INDEX,MATCH(EDATE(A16,1),INDEX!A:A,0),),"")</f>
        <v/>
      </c>
      <c r="B17" s="141"/>
      <c r="C17" s="141"/>
      <c r="D17" s="141"/>
      <c r="E17" s="141"/>
      <c r="F17" s="141"/>
      <c r="G17" s="141"/>
      <c r="H17" s="141"/>
      <c r="I17" s="141"/>
      <c r="J17" s="141"/>
      <c r="K17" s="141"/>
      <c r="L17" s="141"/>
      <c r="M17" s="141"/>
      <c r="N17" s="141"/>
      <c r="O17" s="141"/>
      <c r="P17" s="141"/>
      <c r="Q17" s="141"/>
      <c r="R17" s="141"/>
      <c r="S17" s="141"/>
      <c r="T17" s="141"/>
      <c r="U17" s="141"/>
      <c r="V17" s="141"/>
      <c r="W17" s="141"/>
      <c r="X17" s="142"/>
    </row>
    <row r="18" spans="1:24" x14ac:dyDescent="0.25">
      <c r="A18" s="140" t="str" cm="1">
        <f t="array" ref="A18">IF(A17&lt;DATE3,INDEX(INDEX,MATCH(EDATE(A17,1),INDEX!A:A,0),),"")</f>
        <v/>
      </c>
      <c r="B18" s="141"/>
      <c r="C18" s="141"/>
      <c r="D18" s="141"/>
      <c r="E18" s="141"/>
      <c r="F18" s="141"/>
      <c r="G18" s="141"/>
      <c r="H18" s="141"/>
      <c r="I18" s="141"/>
      <c r="J18" s="141"/>
      <c r="K18" s="141"/>
      <c r="L18" s="141"/>
      <c r="M18" s="141"/>
      <c r="N18" s="141"/>
      <c r="O18" s="141"/>
      <c r="P18" s="141"/>
      <c r="Q18" s="141"/>
      <c r="R18" s="141"/>
      <c r="S18" s="141"/>
      <c r="T18" s="141"/>
      <c r="U18" s="141"/>
      <c r="V18" s="141"/>
      <c r="W18" s="141"/>
      <c r="X18" s="142"/>
    </row>
    <row r="19" spans="1:24" x14ac:dyDescent="0.25">
      <c r="A19" s="143" t="str" cm="1">
        <f t="array" ref="A19">IF(A18&lt;DATE3,INDEX(INDEX,MATCH(EDATE(A18,1),INDEX!A:A,0),),"")</f>
        <v/>
      </c>
      <c r="B19" s="144"/>
      <c r="C19" s="144"/>
      <c r="D19" s="144"/>
      <c r="E19" s="144"/>
      <c r="F19" s="144"/>
      <c r="G19" s="144"/>
      <c r="H19" s="144"/>
      <c r="I19" s="144"/>
      <c r="J19" s="144"/>
      <c r="K19" s="144"/>
      <c r="L19" s="144"/>
      <c r="M19" s="144"/>
      <c r="N19" s="144"/>
      <c r="O19" s="144"/>
      <c r="P19" s="144"/>
      <c r="Q19" s="144"/>
      <c r="R19" s="144"/>
      <c r="S19" s="144"/>
      <c r="T19" s="144"/>
      <c r="U19" s="144"/>
      <c r="V19" s="144"/>
      <c r="W19" s="144"/>
      <c r="X19" s="145"/>
    </row>
    <row r="20" spans="1:24" x14ac:dyDescent="0.25">
      <c r="B20">
        <f>SUM(B7:B19)</f>
        <v>1135.3</v>
      </c>
      <c r="C20" s="121">
        <f t="shared" ref="C20:W20" si="0">SUM(C7:C19)</f>
        <v>1169.9000000000001</v>
      </c>
      <c r="D20" s="121">
        <f t="shared" si="0"/>
        <v>1095.3999999999999</v>
      </c>
      <c r="E20" s="121">
        <f t="shared" si="0"/>
        <v>1076</v>
      </c>
      <c r="F20" s="121">
        <f t="shared" si="0"/>
        <v>1171.5999999999999</v>
      </c>
      <c r="G20" s="121">
        <f t="shared" si="0"/>
        <v>1130.2</v>
      </c>
      <c r="H20" s="121">
        <f t="shared" si="0"/>
        <v>1126.9000000000001</v>
      </c>
      <c r="I20" s="121">
        <f t="shared" si="0"/>
        <v>1206.8</v>
      </c>
      <c r="J20" s="121">
        <f t="shared" si="0"/>
        <v>1078</v>
      </c>
      <c r="K20" s="121">
        <f t="shared" si="0"/>
        <v>1360.55</v>
      </c>
      <c r="L20" s="121">
        <f t="shared" si="0"/>
        <v>1142.5</v>
      </c>
      <c r="M20" s="121">
        <f t="shared" si="0"/>
        <v>1236</v>
      </c>
      <c r="N20" s="121">
        <f t="shared" si="0"/>
        <v>1103.6000000000001</v>
      </c>
      <c r="O20" s="121">
        <f t="shared" si="0"/>
        <v>1089.8</v>
      </c>
      <c r="P20" s="121">
        <f t="shared" si="0"/>
        <v>1221.6000000000001</v>
      </c>
      <c r="Q20" s="121">
        <f t="shared" si="0"/>
        <v>1067.5</v>
      </c>
      <c r="R20" s="121">
        <f t="shared" si="0"/>
        <v>1108.8999999999999</v>
      </c>
      <c r="S20" s="121">
        <f t="shared" si="0"/>
        <v>1099.3999999999999</v>
      </c>
      <c r="T20" s="121">
        <f t="shared" si="0"/>
        <v>1109</v>
      </c>
      <c r="U20" s="121">
        <f t="shared" si="0"/>
        <v>1062.0999999999999</v>
      </c>
      <c r="V20" s="121">
        <f t="shared" si="0"/>
        <v>1063</v>
      </c>
      <c r="W20" s="121">
        <f t="shared" si="0"/>
        <v>1264.8</v>
      </c>
      <c r="X20" s="121">
        <f>SUM(X7:X19)</f>
        <v>1093.0999999999999</v>
      </c>
    </row>
    <row r="22" spans="1:24" x14ac:dyDescent="0.25">
      <c r="B22" s="246" t="s">
        <v>214</v>
      </c>
      <c r="C22" s="246"/>
      <c r="D22" s="246"/>
    </row>
    <row r="23" spans="1:24" x14ac:dyDescent="0.25">
      <c r="A23" s="138" cm="1">
        <f t="array" ref="A23:X23">IF(DATE(YEAR(EDATE(DATE3,-12)),1,1)&lt;=EDATE(DATE3,-12),INDEX(INDEX,MATCH(DATE(YEAR(EDATE(DATE3,-12)),1,1),INDEX!A:A,0),),"")</f>
        <v>44197</v>
      </c>
      <c r="B23" s="55">
        <v>111.2</v>
      </c>
      <c r="C23" s="55">
        <v>116.3</v>
      </c>
      <c r="D23" s="55">
        <v>110.7</v>
      </c>
      <c r="E23" s="55">
        <v>107.7</v>
      </c>
      <c r="F23" s="55">
        <v>113.5</v>
      </c>
      <c r="G23" s="55">
        <v>113.6</v>
      </c>
      <c r="H23" s="55">
        <v>113.6</v>
      </c>
      <c r="I23" s="55">
        <v>109.4</v>
      </c>
      <c r="J23" s="55">
        <v>108</v>
      </c>
      <c r="K23" s="55">
        <v>106.1</v>
      </c>
      <c r="L23" s="55">
        <v>109</v>
      </c>
      <c r="M23" s="55">
        <v>105.5</v>
      </c>
      <c r="N23" s="55">
        <v>111.4</v>
      </c>
      <c r="O23" s="55">
        <v>114.2</v>
      </c>
      <c r="P23" s="55">
        <v>111.5</v>
      </c>
      <c r="Q23" s="55">
        <v>106.4</v>
      </c>
      <c r="R23" s="55">
        <v>105.4</v>
      </c>
      <c r="S23" s="55">
        <v>112.9</v>
      </c>
      <c r="T23" s="55">
        <v>108.9</v>
      </c>
      <c r="U23" s="55">
        <v>114.6</v>
      </c>
      <c r="V23" s="55">
        <v>115.6</v>
      </c>
      <c r="W23" s="55">
        <v>114.7</v>
      </c>
      <c r="X23" s="8">
        <v>115.4</v>
      </c>
    </row>
    <row r="24" spans="1:24" x14ac:dyDescent="0.25">
      <c r="A24" s="140" cm="1">
        <f t="array" ref="A24:X24">IF(A23&lt;EDATE(DATE3,-12),INDEX(INDEX,MATCH(EDATE(A23,1),INDEX!A:A,0),),"")</f>
        <v>44228</v>
      </c>
      <c r="B24" s="141">
        <v>112.1</v>
      </c>
      <c r="C24" s="141">
        <v>117.2</v>
      </c>
      <c r="D24" s="141">
        <v>111.2</v>
      </c>
      <c r="E24" s="141">
        <v>108.2</v>
      </c>
      <c r="F24" s="141">
        <v>114.6</v>
      </c>
      <c r="G24" s="141">
        <v>114.5</v>
      </c>
      <c r="H24" s="141">
        <v>114.4</v>
      </c>
      <c r="I24" s="141">
        <v>111.6</v>
      </c>
      <c r="J24" s="141">
        <v>108.8</v>
      </c>
      <c r="K24" s="141">
        <v>110.6</v>
      </c>
      <c r="L24" s="141">
        <v>110.2</v>
      </c>
      <c r="M24" s="141">
        <v>107.8</v>
      </c>
      <c r="N24" s="141">
        <v>111.8</v>
      </c>
      <c r="O24" s="141">
        <v>114.4</v>
      </c>
      <c r="P24" s="141">
        <v>113.3</v>
      </c>
      <c r="Q24" s="141">
        <v>107.3</v>
      </c>
      <c r="R24" s="141">
        <v>106.4</v>
      </c>
      <c r="S24" s="141">
        <v>113.2</v>
      </c>
      <c r="T24" s="141">
        <v>110.1</v>
      </c>
      <c r="U24" s="141">
        <v>114.8</v>
      </c>
      <c r="V24" s="141">
        <v>115.7</v>
      </c>
      <c r="W24" s="141">
        <v>117.5</v>
      </c>
      <c r="X24" s="142">
        <v>115.7</v>
      </c>
    </row>
    <row r="25" spans="1:24" x14ac:dyDescent="0.25">
      <c r="A25" s="140" cm="1">
        <f t="array" ref="A25:X25">IF(A24&lt;EDATE(DATE3,-12),INDEX(INDEX,MATCH(EDATE(A24,1),INDEX!A:A,0),),"")</f>
        <v>44256</v>
      </c>
      <c r="B25" s="141">
        <v>113.5</v>
      </c>
      <c r="C25" s="141">
        <v>118.3</v>
      </c>
      <c r="D25" s="141">
        <v>112.4</v>
      </c>
      <c r="E25" s="141">
        <v>109.4</v>
      </c>
      <c r="F25" s="141">
        <v>115.9</v>
      </c>
      <c r="G25" s="141">
        <v>115.4</v>
      </c>
      <c r="H25" s="141">
        <v>115.6</v>
      </c>
      <c r="I25" s="141">
        <v>114</v>
      </c>
      <c r="J25" s="141">
        <v>110.5</v>
      </c>
      <c r="K25" s="141">
        <v>114</v>
      </c>
      <c r="L25" s="141">
        <v>111.8</v>
      </c>
      <c r="M25" s="141">
        <v>110.9</v>
      </c>
      <c r="N25" s="141">
        <v>112.9</v>
      </c>
      <c r="O25" s="141">
        <v>115.7</v>
      </c>
      <c r="P25" s="141">
        <v>118.1</v>
      </c>
      <c r="Q25" s="141">
        <v>108.2</v>
      </c>
      <c r="R25" s="141">
        <v>106.7</v>
      </c>
      <c r="S25" s="141">
        <v>114</v>
      </c>
      <c r="T25" s="141">
        <v>110.4</v>
      </c>
      <c r="U25" s="141">
        <v>115.1</v>
      </c>
      <c r="V25" s="141">
        <v>116</v>
      </c>
      <c r="W25" s="141">
        <v>120.8</v>
      </c>
      <c r="X25" s="142">
        <v>116.4</v>
      </c>
    </row>
    <row r="26" spans="1:24" x14ac:dyDescent="0.25">
      <c r="A26" s="140" cm="1">
        <f t="array" ref="A26:X26">IF(A25&lt;EDATE(DATE3,-12),INDEX(INDEX,MATCH(EDATE(A25,1),INDEX!A:A,0),),"")</f>
        <v>44287</v>
      </c>
      <c r="B26" s="141">
        <v>113.8</v>
      </c>
      <c r="C26" s="141">
        <v>118.9</v>
      </c>
      <c r="D26" s="141">
        <v>112.3</v>
      </c>
      <c r="E26" s="141">
        <v>109.5</v>
      </c>
      <c r="F26" s="141">
        <v>116.3</v>
      </c>
      <c r="G26" s="141">
        <v>115.8</v>
      </c>
      <c r="H26" s="141">
        <v>115.8</v>
      </c>
      <c r="I26" s="141">
        <v>113.5</v>
      </c>
      <c r="J26" s="141">
        <v>110.2</v>
      </c>
      <c r="K26" s="141">
        <v>115.4</v>
      </c>
      <c r="L26" s="141">
        <v>112</v>
      </c>
      <c r="M26" s="141">
        <v>111.8</v>
      </c>
      <c r="N26" s="141">
        <v>113.3</v>
      </c>
      <c r="O26" s="141">
        <v>115.6</v>
      </c>
      <c r="P26" s="141">
        <v>122.2</v>
      </c>
      <c r="Q26" s="141">
        <v>108.5</v>
      </c>
      <c r="R26" s="141">
        <v>108</v>
      </c>
      <c r="S26" s="141">
        <v>114.3</v>
      </c>
      <c r="T26" s="141">
        <v>110.3</v>
      </c>
      <c r="U26" s="141">
        <v>114.8</v>
      </c>
      <c r="V26" s="141">
        <v>116</v>
      </c>
      <c r="W26" s="141">
        <v>118.8</v>
      </c>
      <c r="X26" s="142">
        <v>116.3</v>
      </c>
    </row>
    <row r="27" spans="1:24" x14ac:dyDescent="0.25">
      <c r="A27" s="140" cm="1">
        <f t="array" ref="A27:X27">IF(A26&lt;EDATE(DATE3,-12),INDEX(INDEX,MATCH(EDATE(A26,1),INDEX!A:A,0),),"")</f>
        <v>44317</v>
      </c>
      <c r="B27" s="141">
        <v>114</v>
      </c>
      <c r="C27" s="141">
        <v>119</v>
      </c>
      <c r="D27" s="141">
        <v>112.5</v>
      </c>
      <c r="E27" s="141">
        <v>109.6</v>
      </c>
      <c r="F27" s="141">
        <v>116.7</v>
      </c>
      <c r="G27" s="141">
        <v>115.7</v>
      </c>
      <c r="H27" s="141">
        <v>115.5</v>
      </c>
      <c r="I27" s="141">
        <v>113.3</v>
      </c>
      <c r="J27" s="141">
        <v>110.3</v>
      </c>
      <c r="K27" s="141">
        <v>118.1</v>
      </c>
      <c r="L27" s="141">
        <v>111.9</v>
      </c>
      <c r="M27" s="141">
        <v>111.2</v>
      </c>
      <c r="N27" s="141">
        <v>113.7</v>
      </c>
      <c r="O27" s="141">
        <v>115.6</v>
      </c>
      <c r="P27" s="141">
        <v>124.3</v>
      </c>
      <c r="Q27" s="141">
        <v>108.6</v>
      </c>
      <c r="R27" s="141">
        <v>108.3</v>
      </c>
      <c r="S27" s="141">
        <v>114.6</v>
      </c>
      <c r="T27" s="141">
        <v>111.3</v>
      </c>
      <c r="U27" s="141">
        <v>115.1</v>
      </c>
      <c r="V27" s="141">
        <v>116</v>
      </c>
      <c r="W27" s="141">
        <v>119.3</v>
      </c>
      <c r="X27" s="142">
        <v>116.3</v>
      </c>
    </row>
    <row r="28" spans="1:24" x14ac:dyDescent="0.25">
      <c r="A28" s="140" cm="1">
        <f t="array" ref="A28:X28">IF(A27&lt;EDATE(DATE3,-12),INDEX(INDEX,MATCH(EDATE(A27,1),INDEX!A:A,0),),"")</f>
        <v>44348</v>
      </c>
      <c r="B28" s="141">
        <v>114.8</v>
      </c>
      <c r="C28" s="141">
        <v>120.8</v>
      </c>
      <c r="D28" s="141">
        <v>113.1</v>
      </c>
      <c r="E28" s="141">
        <v>110.1</v>
      </c>
      <c r="F28" s="141">
        <v>118.5</v>
      </c>
      <c r="G28" s="141">
        <v>116.7</v>
      </c>
      <c r="H28" s="141">
        <v>116.2</v>
      </c>
      <c r="I28" s="141">
        <v>114.4</v>
      </c>
      <c r="J28" s="141">
        <v>110.9</v>
      </c>
      <c r="K28" s="141">
        <v>123.5</v>
      </c>
      <c r="L28" s="141">
        <v>112.6</v>
      </c>
      <c r="M28" s="141">
        <v>111.7</v>
      </c>
      <c r="N28" s="141">
        <v>114.9</v>
      </c>
      <c r="O28" s="141">
        <v>116.1</v>
      </c>
      <c r="P28" s="141">
        <v>123.2</v>
      </c>
      <c r="Q28" s="141">
        <v>109.2</v>
      </c>
      <c r="R28" s="141">
        <v>109.1</v>
      </c>
      <c r="S28" s="141">
        <v>115.4</v>
      </c>
      <c r="T28" s="141">
        <v>112.1</v>
      </c>
      <c r="U28" s="141">
        <v>115.3</v>
      </c>
      <c r="V28" s="141">
        <v>115.5</v>
      </c>
      <c r="W28" s="141">
        <v>118.5</v>
      </c>
      <c r="X28" s="142">
        <v>116.7</v>
      </c>
    </row>
    <row r="29" spans="1:24" x14ac:dyDescent="0.25">
      <c r="A29" s="140" cm="1">
        <f t="array" ref="A29:X29">IF(A28&lt;EDATE(DATE3,-12),INDEX(INDEX,MATCH(EDATE(A28,1),INDEX!A:A,0),),"")</f>
        <v>44378</v>
      </c>
      <c r="B29" s="141">
        <v>115.9</v>
      </c>
      <c r="C29" s="141">
        <v>122.7</v>
      </c>
      <c r="D29" s="141">
        <v>113.3</v>
      </c>
      <c r="E29" s="141">
        <v>110.5</v>
      </c>
      <c r="F29" s="141">
        <v>120.5</v>
      </c>
      <c r="G29" s="141">
        <v>118.3</v>
      </c>
      <c r="H29" s="141">
        <v>117.7</v>
      </c>
      <c r="I29" s="141">
        <v>115.8</v>
      </c>
      <c r="J29" s="141">
        <v>111.3</v>
      </c>
      <c r="K29" s="141">
        <v>129.30000000000001</v>
      </c>
      <c r="L29" s="141">
        <v>113.9</v>
      </c>
      <c r="M29" s="141">
        <v>113.9</v>
      </c>
      <c r="N29" s="141">
        <v>115.7</v>
      </c>
      <c r="O29" s="141">
        <v>116.2</v>
      </c>
      <c r="P29" s="141">
        <v>123.6</v>
      </c>
      <c r="Q29" s="141">
        <v>109.3</v>
      </c>
      <c r="R29" s="141">
        <v>109.7</v>
      </c>
      <c r="S29" s="141">
        <v>116.2</v>
      </c>
      <c r="T29" s="141">
        <v>112.5</v>
      </c>
      <c r="U29" s="141">
        <v>115.3</v>
      </c>
      <c r="V29" s="141">
        <v>115.5</v>
      </c>
      <c r="W29" s="141">
        <v>121.9</v>
      </c>
      <c r="X29" s="142">
        <v>117.1</v>
      </c>
    </row>
    <row r="30" spans="1:24" x14ac:dyDescent="0.25">
      <c r="A30" s="140" cm="1">
        <f t="array" ref="A30:X30">IF(A29&lt;EDATE(DATE3,-12),INDEX(INDEX,MATCH(EDATE(A29,1),INDEX!A:A,0),),"")</f>
        <v>44409</v>
      </c>
      <c r="B30" s="141">
        <v>116.1</v>
      </c>
      <c r="C30" s="141">
        <v>123.1</v>
      </c>
      <c r="D30" s="141">
        <v>113.4</v>
      </c>
      <c r="E30" s="141">
        <v>110.2</v>
      </c>
      <c r="F30" s="141">
        <v>120.9</v>
      </c>
      <c r="G30" s="141">
        <v>118.5</v>
      </c>
      <c r="H30" s="141">
        <v>117.9</v>
      </c>
      <c r="I30" s="141">
        <v>115.4</v>
      </c>
      <c r="J30" s="141">
        <v>111</v>
      </c>
      <c r="K30" s="141">
        <v>131.1</v>
      </c>
      <c r="L30" s="141">
        <v>114.1</v>
      </c>
      <c r="M30" s="141">
        <v>114.4</v>
      </c>
      <c r="N30" s="141">
        <v>116</v>
      </c>
      <c r="O30" s="141">
        <v>116.2</v>
      </c>
      <c r="P30" s="141">
        <v>122.6</v>
      </c>
      <c r="Q30" s="141">
        <v>109.4</v>
      </c>
      <c r="R30" s="141">
        <v>110</v>
      </c>
      <c r="S30" s="141">
        <v>116.4</v>
      </c>
      <c r="T30" s="141">
        <v>111.9</v>
      </c>
      <c r="U30" s="141">
        <v>114.7</v>
      </c>
      <c r="V30" s="141">
        <v>115.3</v>
      </c>
      <c r="W30" s="141">
        <v>129.4</v>
      </c>
      <c r="X30" s="142">
        <v>117.3</v>
      </c>
    </row>
    <row r="31" spans="1:24" x14ac:dyDescent="0.25">
      <c r="A31" s="140" cm="1">
        <f t="array" ref="A31:X31">IF(A30&lt;EDATE(DATE3,-12),INDEX(INDEX,MATCH(EDATE(A30,1),INDEX!A:A,0),),"")</f>
        <v>44440</v>
      </c>
      <c r="B31" s="141">
        <v>116.4</v>
      </c>
      <c r="C31" s="141">
        <v>123.7</v>
      </c>
      <c r="D31" s="141">
        <v>113.7</v>
      </c>
      <c r="E31" s="141">
        <v>110.4</v>
      </c>
      <c r="F31" s="141">
        <v>121.4</v>
      </c>
      <c r="G31" s="141">
        <v>118.6</v>
      </c>
      <c r="H31" s="141">
        <v>118</v>
      </c>
      <c r="I31" s="141">
        <v>116.1</v>
      </c>
      <c r="J31" s="141">
        <v>111.5</v>
      </c>
      <c r="K31" s="141">
        <v>138</v>
      </c>
      <c r="L31" s="141">
        <v>114.2</v>
      </c>
      <c r="M31" s="141">
        <v>114.3</v>
      </c>
      <c r="N31" s="141">
        <v>116.2</v>
      </c>
      <c r="O31" s="141">
        <v>116.3</v>
      </c>
      <c r="P31" s="141">
        <v>123.3</v>
      </c>
      <c r="Q31" s="141">
        <v>110.1</v>
      </c>
      <c r="R31" s="141">
        <v>111.4</v>
      </c>
      <c r="S31" s="141">
        <v>116.5</v>
      </c>
      <c r="T31" s="141">
        <v>113.2</v>
      </c>
      <c r="U31" s="141">
        <v>114.9</v>
      </c>
      <c r="V31" s="141">
        <v>115.4</v>
      </c>
      <c r="W31" s="141">
        <v>135.5</v>
      </c>
      <c r="X31" s="142">
        <v>117</v>
      </c>
    </row>
    <row r="32" spans="1:24" x14ac:dyDescent="0.25">
      <c r="A32" s="140" t="str" cm="1">
        <f t="array" ref="A32">IF(A31&lt;EDATE(DATE3,-12),INDEX(INDEX,MATCH(EDATE(A31,1),INDEX!A:A,0),),"")</f>
        <v/>
      </c>
      <c r="B32" s="141"/>
      <c r="C32" s="141"/>
      <c r="D32" s="141"/>
      <c r="E32" s="141"/>
      <c r="F32" s="141"/>
      <c r="G32" s="141"/>
      <c r="H32" s="141"/>
      <c r="I32" s="141"/>
      <c r="J32" s="141"/>
      <c r="K32" s="141"/>
      <c r="L32" s="141"/>
      <c r="M32" s="141"/>
      <c r="N32" s="141"/>
      <c r="O32" s="141"/>
      <c r="P32" s="141"/>
      <c r="Q32" s="141"/>
      <c r="R32" s="141"/>
      <c r="S32" s="141"/>
      <c r="T32" s="141"/>
      <c r="U32" s="141"/>
      <c r="V32" s="141"/>
      <c r="W32" s="141"/>
      <c r="X32" s="142"/>
    </row>
    <row r="33" spans="1:24" x14ac:dyDescent="0.25">
      <c r="A33" s="140" t="str" cm="1">
        <f t="array" ref="A33">IF(A32&lt;EDATE(DATE3,-12),INDEX(INDEX,MATCH(EDATE(A32,1),INDEX!A:A,0),),"")</f>
        <v/>
      </c>
      <c r="B33" s="141"/>
      <c r="C33" s="141"/>
      <c r="D33" s="141"/>
      <c r="E33" s="141"/>
      <c r="F33" s="141"/>
      <c r="G33" s="141"/>
      <c r="H33" s="141"/>
      <c r="I33" s="141"/>
      <c r="J33" s="141"/>
      <c r="K33" s="141"/>
      <c r="L33" s="141"/>
      <c r="M33" s="141"/>
      <c r="N33" s="141"/>
      <c r="O33" s="141"/>
      <c r="P33" s="141"/>
      <c r="Q33" s="141"/>
      <c r="R33" s="141"/>
      <c r="S33" s="141"/>
      <c r="T33" s="141"/>
      <c r="U33" s="141"/>
      <c r="V33" s="141"/>
      <c r="W33" s="141"/>
      <c r="X33" s="142"/>
    </row>
    <row r="34" spans="1:24" x14ac:dyDescent="0.25">
      <c r="A34" s="140" t="str" cm="1">
        <f t="array" ref="A34">IF(A33&lt;EDATE(DATE3,-12),INDEX(INDEX,MATCH(EDATE(A33,1),INDEX!A:A,0),),"")</f>
        <v/>
      </c>
      <c r="B34" s="141"/>
      <c r="C34" s="141"/>
      <c r="D34" s="141"/>
      <c r="E34" s="141"/>
      <c r="F34" s="141"/>
      <c r="G34" s="141"/>
      <c r="H34" s="141"/>
      <c r="I34" s="141"/>
      <c r="J34" s="141"/>
      <c r="K34" s="141"/>
      <c r="L34" s="141"/>
      <c r="M34" s="141"/>
      <c r="N34" s="141"/>
      <c r="O34" s="141"/>
      <c r="P34" s="141"/>
      <c r="Q34" s="141"/>
      <c r="R34" s="141"/>
      <c r="S34" s="141"/>
      <c r="T34" s="141"/>
      <c r="U34" s="141"/>
      <c r="V34" s="141"/>
      <c r="W34" s="141"/>
      <c r="X34" s="142"/>
    </row>
    <row r="35" spans="1:24" x14ac:dyDescent="0.25">
      <c r="A35" s="143" t="str" cm="1">
        <f t="array" ref="A35">IF(A34&lt;EDATE(DATE3,-12),INDEX(INDEX,MATCH(EDATE(A34,1),INDEX!A:A,0),),"")</f>
        <v/>
      </c>
      <c r="B35" s="144"/>
      <c r="C35" s="144"/>
      <c r="D35" s="144"/>
      <c r="E35" s="144"/>
      <c r="F35" s="144"/>
      <c r="G35" s="144"/>
      <c r="H35" s="144"/>
      <c r="I35" s="144"/>
      <c r="J35" s="144"/>
      <c r="K35" s="144"/>
      <c r="L35" s="144"/>
      <c r="M35" s="144"/>
      <c r="N35" s="144"/>
      <c r="O35" s="144"/>
      <c r="P35" s="144"/>
      <c r="Q35" s="144"/>
      <c r="R35" s="144"/>
      <c r="S35" s="144"/>
      <c r="T35" s="144"/>
      <c r="U35" s="144"/>
      <c r="V35" s="144"/>
      <c r="W35" s="144"/>
      <c r="X35" s="145"/>
    </row>
    <row r="36" spans="1:24" x14ac:dyDescent="0.25">
      <c r="B36">
        <f>SUM(B23:B35)</f>
        <v>1027.8</v>
      </c>
      <c r="C36" s="121">
        <f t="shared" ref="C36:X36" si="1">SUM(C23:C35)</f>
        <v>1080</v>
      </c>
      <c r="D36" s="121">
        <f t="shared" si="1"/>
        <v>1012.6</v>
      </c>
      <c r="E36" s="121">
        <f t="shared" si="1"/>
        <v>985.6</v>
      </c>
      <c r="F36" s="121">
        <f t="shared" si="1"/>
        <v>1058.3</v>
      </c>
      <c r="G36" s="121">
        <f t="shared" si="1"/>
        <v>1047.0999999999999</v>
      </c>
      <c r="H36" s="121">
        <f t="shared" si="1"/>
        <v>1044.7000000000003</v>
      </c>
      <c r="I36" s="121">
        <f t="shared" si="1"/>
        <v>1023.4999999999999</v>
      </c>
      <c r="J36" s="121">
        <f t="shared" si="1"/>
        <v>992.49999999999989</v>
      </c>
      <c r="K36" s="121">
        <f t="shared" si="1"/>
        <v>1086.0999999999999</v>
      </c>
      <c r="L36" s="121">
        <f t="shared" si="1"/>
        <v>1009.7</v>
      </c>
      <c r="M36" s="121">
        <f t="shared" si="1"/>
        <v>1001.5</v>
      </c>
      <c r="N36" s="121">
        <f t="shared" si="1"/>
        <v>1025.9000000000001</v>
      </c>
      <c r="O36" s="121">
        <f t="shared" si="1"/>
        <v>1040.3000000000002</v>
      </c>
      <c r="P36" s="121">
        <f t="shared" si="1"/>
        <v>1082.1000000000001</v>
      </c>
      <c r="Q36" s="121">
        <f t="shared" si="1"/>
        <v>977</v>
      </c>
      <c r="R36" s="121">
        <f t="shared" si="1"/>
        <v>975</v>
      </c>
      <c r="S36" s="121">
        <f t="shared" si="1"/>
        <v>1033.5</v>
      </c>
      <c r="T36" s="121">
        <f t="shared" si="1"/>
        <v>1000.7</v>
      </c>
      <c r="U36" s="121">
        <f t="shared" si="1"/>
        <v>1034.5999999999999</v>
      </c>
      <c r="V36" s="121">
        <f t="shared" si="1"/>
        <v>1041</v>
      </c>
      <c r="W36" s="121">
        <f t="shared" si="1"/>
        <v>1096.4000000000001</v>
      </c>
      <c r="X36" s="121">
        <f t="shared" si="1"/>
        <v>1048.2</v>
      </c>
    </row>
    <row r="38" spans="1:24" x14ac:dyDescent="0.25">
      <c r="B38" s="246" t="s">
        <v>215</v>
      </c>
      <c r="C38" s="246"/>
      <c r="D38" s="246"/>
    </row>
    <row r="39" spans="1:24" x14ac:dyDescent="0.25">
      <c r="A39" s="138" cm="1">
        <f t="array" ref="A39:X39">IF(DATE(YEAR(EDATE(DATE3,-24)),1,1)&lt;=EDATE(DATE3,-24),INDEX(INDEX,MATCH(DATE(YEAR(EDATE(DATE3,-24)),1,1),INDEX!A:A,0),),"")</f>
        <v>43831</v>
      </c>
      <c r="B39" s="55">
        <v>111.4</v>
      </c>
      <c r="C39" s="55">
        <v>114.7</v>
      </c>
      <c r="D39" s="55">
        <v>111.3</v>
      </c>
      <c r="E39" s="55">
        <v>108.8</v>
      </c>
      <c r="F39" s="55">
        <v>111.9</v>
      </c>
      <c r="G39" s="55">
        <v>112.3</v>
      </c>
      <c r="H39" s="55">
        <v>112.3</v>
      </c>
      <c r="I39" s="55">
        <v>111.4</v>
      </c>
      <c r="J39" s="55">
        <v>109.9</v>
      </c>
      <c r="K39" s="55">
        <v>101.1</v>
      </c>
      <c r="L39" s="55">
        <v>110.1</v>
      </c>
      <c r="M39" s="55">
        <v>107.7</v>
      </c>
      <c r="N39" s="55">
        <v>111.5</v>
      </c>
      <c r="O39" s="55">
        <v>114</v>
      </c>
      <c r="P39" s="55">
        <v>110.4</v>
      </c>
      <c r="Q39" s="55">
        <v>105.7</v>
      </c>
      <c r="R39" s="55">
        <v>105.3</v>
      </c>
      <c r="S39" s="55">
        <v>112.9</v>
      </c>
      <c r="T39" s="55">
        <v>108.4</v>
      </c>
      <c r="U39" s="55">
        <v>114.8</v>
      </c>
      <c r="V39" s="55">
        <v>115.4</v>
      </c>
      <c r="W39" s="55">
        <v>112.4</v>
      </c>
      <c r="X39" s="8">
        <v>116.3</v>
      </c>
    </row>
    <row r="40" spans="1:24" x14ac:dyDescent="0.25">
      <c r="A40" s="140" cm="1">
        <f t="array" ref="A40:X40">IF(A39&lt;EDATE(DATE3,-24),INDEX(INDEX,MATCH(EDATE(A39,1),INDEX!A:A,0),),"")</f>
        <v>43862</v>
      </c>
      <c r="B40" s="141">
        <v>111.7</v>
      </c>
      <c r="C40" s="141">
        <v>114.8</v>
      </c>
      <c r="D40" s="141">
        <v>111.1</v>
      </c>
      <c r="E40" s="141">
        <v>108.7</v>
      </c>
      <c r="F40" s="141">
        <v>111.6</v>
      </c>
      <c r="G40" s="141">
        <v>112.1</v>
      </c>
      <c r="H40" s="141">
        <v>112.2</v>
      </c>
      <c r="I40" s="141">
        <v>110</v>
      </c>
      <c r="J40" s="141">
        <v>109.6</v>
      </c>
      <c r="K40" s="141">
        <v>100.6</v>
      </c>
      <c r="L40" s="141">
        <v>110.7</v>
      </c>
      <c r="M40" s="141">
        <v>109.5</v>
      </c>
      <c r="N40" s="141">
        <v>111.6</v>
      </c>
      <c r="O40" s="141">
        <v>114.1</v>
      </c>
      <c r="P40" s="141">
        <v>110.4</v>
      </c>
      <c r="Q40" s="141">
        <v>105.7</v>
      </c>
      <c r="R40" s="141">
        <v>105.1</v>
      </c>
      <c r="S40" s="141">
        <v>113</v>
      </c>
      <c r="T40" s="141">
        <v>108.3</v>
      </c>
      <c r="U40" s="141">
        <v>114.9</v>
      </c>
      <c r="V40" s="141">
        <v>115.5</v>
      </c>
      <c r="W40" s="141">
        <v>111.5</v>
      </c>
      <c r="X40" s="142">
        <v>116.2</v>
      </c>
    </row>
    <row r="41" spans="1:24" x14ac:dyDescent="0.25">
      <c r="A41" s="140" cm="1">
        <f t="array" ref="A41:X41">IF(A40&lt;EDATE(DATE3,-24),INDEX(INDEX,MATCH(EDATE(A40,1),INDEX!A:A,0),),"")</f>
        <v>43891</v>
      </c>
      <c r="B41" s="141">
        <v>110.8</v>
      </c>
      <c r="C41" s="141">
        <v>114.7</v>
      </c>
      <c r="D41" s="141">
        <v>110.2</v>
      </c>
      <c r="E41" s="141">
        <v>107.8</v>
      </c>
      <c r="F41" s="141">
        <v>111</v>
      </c>
      <c r="G41" s="141">
        <v>111.8</v>
      </c>
      <c r="H41" s="141">
        <v>111.9</v>
      </c>
      <c r="I41" s="141">
        <v>105.9</v>
      </c>
      <c r="J41" s="141">
        <v>108</v>
      </c>
      <c r="K41" s="141">
        <v>100.8</v>
      </c>
      <c r="L41" s="141">
        <v>109.3</v>
      </c>
      <c r="M41" s="141">
        <v>106.8</v>
      </c>
      <c r="N41" s="141">
        <v>111.3</v>
      </c>
      <c r="O41" s="141">
        <v>113.6</v>
      </c>
      <c r="P41" s="141">
        <v>109.7</v>
      </c>
      <c r="Q41" s="141">
        <v>105.6</v>
      </c>
      <c r="R41" s="141">
        <v>105</v>
      </c>
      <c r="S41" s="141">
        <v>112.6</v>
      </c>
      <c r="T41" s="141">
        <v>108.3</v>
      </c>
      <c r="U41" s="141">
        <v>114.7</v>
      </c>
      <c r="V41" s="141">
        <v>115.4</v>
      </c>
      <c r="W41" s="141">
        <v>112.9</v>
      </c>
      <c r="X41" s="142">
        <v>115.7</v>
      </c>
    </row>
    <row r="42" spans="1:24" x14ac:dyDescent="0.25">
      <c r="A42" s="140" cm="1">
        <f t="array" ref="A42:X42">IF(A41&lt;EDATE(DATE3,-24),INDEX(INDEX,MATCH(EDATE(A41,1),INDEX!A:A,0),),"")</f>
        <v>43922</v>
      </c>
      <c r="B42" s="141">
        <v>108.9</v>
      </c>
      <c r="C42" s="141">
        <v>114.4</v>
      </c>
      <c r="D42" s="141">
        <v>109.4</v>
      </c>
      <c r="E42" s="141">
        <v>107.4</v>
      </c>
      <c r="F42" s="141">
        <v>110.1</v>
      </c>
      <c r="G42" s="141">
        <v>111.3</v>
      </c>
      <c r="H42" s="141">
        <v>111.4</v>
      </c>
      <c r="I42" s="141">
        <v>103.3</v>
      </c>
      <c r="J42" s="141">
        <v>106.6</v>
      </c>
      <c r="K42" s="141">
        <v>99.6</v>
      </c>
      <c r="L42" s="141">
        <v>106</v>
      </c>
      <c r="M42" s="141">
        <v>98.3</v>
      </c>
      <c r="N42" s="141">
        <v>111</v>
      </c>
      <c r="O42" s="141">
        <v>113.4</v>
      </c>
      <c r="P42" s="141">
        <v>108.2</v>
      </c>
      <c r="Q42" s="141">
        <v>105.4</v>
      </c>
      <c r="R42" s="141">
        <v>104.3</v>
      </c>
      <c r="S42" s="141">
        <v>112.1</v>
      </c>
      <c r="T42" s="141">
        <v>107.8</v>
      </c>
      <c r="U42" s="141">
        <v>114.3</v>
      </c>
      <c r="V42" s="141">
        <v>115.1</v>
      </c>
      <c r="W42" s="141">
        <v>110.6</v>
      </c>
      <c r="X42" s="142">
        <v>115</v>
      </c>
    </row>
    <row r="43" spans="1:24" x14ac:dyDescent="0.25">
      <c r="A43" s="140" cm="1">
        <f t="array" ref="A43:X43">IF(A42&lt;EDATE(DATE3,-24),INDEX(INDEX,MATCH(EDATE(A42,1),INDEX!A:A,0),),"")</f>
        <v>43952</v>
      </c>
      <c r="B43" s="141">
        <v>108.7</v>
      </c>
      <c r="C43" s="141">
        <v>114.2</v>
      </c>
      <c r="D43" s="141">
        <v>109.5</v>
      </c>
      <c r="E43" s="141">
        <v>107.4</v>
      </c>
      <c r="F43" s="141">
        <v>110.3</v>
      </c>
      <c r="G43" s="141">
        <v>111.4</v>
      </c>
      <c r="H43" s="141">
        <v>111.2</v>
      </c>
      <c r="I43" s="141">
        <v>103.7</v>
      </c>
      <c r="J43" s="141">
        <v>106.6</v>
      </c>
      <c r="K43" s="141">
        <v>100.5</v>
      </c>
      <c r="L43" s="141">
        <v>105.8</v>
      </c>
      <c r="M43" s="141">
        <v>97.8</v>
      </c>
      <c r="N43" s="141">
        <v>110.9</v>
      </c>
      <c r="O43" s="141">
        <v>113.3</v>
      </c>
      <c r="P43" s="141">
        <v>106.1</v>
      </c>
      <c r="Q43" s="141">
        <v>105.5</v>
      </c>
      <c r="R43" s="141">
        <v>104.7</v>
      </c>
      <c r="S43" s="141">
        <v>111.9</v>
      </c>
      <c r="T43" s="141">
        <v>107.5</v>
      </c>
      <c r="U43" s="141">
        <v>113.9</v>
      </c>
      <c r="V43" s="141">
        <v>114.9</v>
      </c>
      <c r="W43" s="141">
        <v>109.8</v>
      </c>
      <c r="X43" s="142">
        <v>114.8</v>
      </c>
    </row>
    <row r="44" spans="1:24" x14ac:dyDescent="0.25">
      <c r="A44" s="140" cm="1">
        <f t="array" ref="A44:X44">IF(A43&lt;EDATE(DATE3,-24),INDEX(INDEX,MATCH(EDATE(A43,1),INDEX!A:A,0),),"")</f>
        <v>43983</v>
      </c>
      <c r="B44" s="141">
        <v>108.8</v>
      </c>
      <c r="C44" s="141">
        <v>113.7</v>
      </c>
      <c r="D44" s="141">
        <v>108.8</v>
      </c>
      <c r="E44" s="141">
        <v>107.3</v>
      </c>
      <c r="F44" s="141">
        <v>110</v>
      </c>
      <c r="G44" s="141">
        <v>111.1</v>
      </c>
      <c r="H44" s="141">
        <v>110.7</v>
      </c>
      <c r="I44" s="141">
        <v>105.5</v>
      </c>
      <c r="J44" s="141">
        <v>106.2</v>
      </c>
      <c r="K44" s="141">
        <v>99.6</v>
      </c>
      <c r="L44" s="141">
        <v>106.3</v>
      </c>
      <c r="M44" s="141">
        <v>100.9</v>
      </c>
      <c r="N44" s="141">
        <v>110.3</v>
      </c>
      <c r="O44" s="141">
        <v>112.4</v>
      </c>
      <c r="P44" s="141">
        <v>106.2</v>
      </c>
      <c r="Q44" s="141">
        <v>104.6</v>
      </c>
      <c r="R44" s="141">
        <v>104.5</v>
      </c>
      <c r="S44" s="141">
        <v>111.5</v>
      </c>
      <c r="T44" s="141">
        <v>107.6</v>
      </c>
      <c r="U44" s="141">
        <v>114</v>
      </c>
      <c r="V44" s="141">
        <v>114.8</v>
      </c>
      <c r="W44" s="141">
        <v>108.8</v>
      </c>
      <c r="X44" s="142">
        <v>114.6</v>
      </c>
    </row>
    <row r="45" spans="1:24" x14ac:dyDescent="0.25">
      <c r="A45" s="140" cm="1">
        <f t="array" ref="A45:X45">IF(A44&lt;EDATE(DATE3,-24),INDEX(INDEX,MATCH(EDATE(A44,1),INDEX!A:A,0),),"")</f>
        <v>44013</v>
      </c>
      <c r="B45" s="141">
        <v>109.9</v>
      </c>
      <c r="C45" s="141">
        <v>113.7</v>
      </c>
      <c r="D45" s="141">
        <v>108.9</v>
      </c>
      <c r="E45" s="141">
        <v>107.3</v>
      </c>
      <c r="F45" s="141">
        <v>110</v>
      </c>
      <c r="G45" s="141">
        <v>111.2</v>
      </c>
      <c r="H45" s="141">
        <v>110.7</v>
      </c>
      <c r="I45" s="141">
        <v>106</v>
      </c>
      <c r="J45" s="141">
        <v>106.3</v>
      </c>
      <c r="K45" s="141">
        <v>99.5</v>
      </c>
      <c r="L45" s="141">
        <v>108.4</v>
      </c>
      <c r="M45" s="141">
        <v>106.6</v>
      </c>
      <c r="N45" s="141">
        <v>110.3</v>
      </c>
      <c r="O45" s="141">
        <v>112.6</v>
      </c>
      <c r="P45" s="141">
        <v>107.3</v>
      </c>
      <c r="Q45" s="141">
        <v>104.7</v>
      </c>
      <c r="R45" s="141">
        <v>104</v>
      </c>
      <c r="S45" s="141">
        <v>111.8</v>
      </c>
      <c r="T45" s="141">
        <v>108</v>
      </c>
      <c r="U45" s="141">
        <v>114.4</v>
      </c>
      <c r="V45" s="141">
        <v>115.1</v>
      </c>
      <c r="W45" s="141">
        <v>108.5</v>
      </c>
      <c r="X45" s="142">
        <v>115.1</v>
      </c>
    </row>
    <row r="46" spans="1:24" x14ac:dyDescent="0.25">
      <c r="A46" s="140" cm="1">
        <f t="array" ref="A46:X46">IF(A45&lt;EDATE(DATE3,-24),INDEX(INDEX,MATCH(EDATE(A45,1),INDEX!A:A,0),),"")</f>
        <v>44044</v>
      </c>
      <c r="B46" s="141">
        <v>110</v>
      </c>
      <c r="C46" s="141">
        <v>113.8</v>
      </c>
      <c r="D46" s="141">
        <v>109.1</v>
      </c>
      <c r="E46" s="141">
        <v>107.6</v>
      </c>
      <c r="F46" s="141">
        <v>110</v>
      </c>
      <c r="G46" s="141">
        <v>111.3</v>
      </c>
      <c r="H46" s="141">
        <v>110.8</v>
      </c>
      <c r="I46" s="141">
        <v>106.4</v>
      </c>
      <c r="J46" s="141">
        <v>106.4</v>
      </c>
      <c r="K46" s="141">
        <v>100.5</v>
      </c>
      <c r="L46" s="141">
        <v>108.3</v>
      </c>
      <c r="M46" s="141">
        <v>106.3</v>
      </c>
      <c r="N46" s="141">
        <v>110.4</v>
      </c>
      <c r="O46" s="141">
        <v>112.7</v>
      </c>
      <c r="P46" s="141">
        <v>107.6</v>
      </c>
      <c r="Q46" s="141">
        <v>104.5</v>
      </c>
      <c r="R46" s="141">
        <v>103.7</v>
      </c>
      <c r="S46" s="141">
        <v>112.2</v>
      </c>
      <c r="T46" s="141">
        <v>107.9</v>
      </c>
      <c r="U46" s="141">
        <v>114.5</v>
      </c>
      <c r="V46" s="141">
        <v>115.4</v>
      </c>
      <c r="W46" s="141">
        <v>110.2</v>
      </c>
      <c r="X46" s="142">
        <v>115.5</v>
      </c>
    </row>
    <row r="47" spans="1:24" x14ac:dyDescent="0.25">
      <c r="A47" s="140" cm="1">
        <f t="array" ref="A47:X47">IF(A46&lt;EDATE(DATE3,-24),INDEX(INDEX,MATCH(EDATE(A46,1),INDEX!A:A,0),),"")</f>
        <v>44075</v>
      </c>
      <c r="B47" s="141">
        <v>110.1</v>
      </c>
      <c r="C47" s="141">
        <v>114.4</v>
      </c>
      <c r="D47" s="141">
        <v>109.2</v>
      </c>
      <c r="E47" s="141">
        <v>107.4</v>
      </c>
      <c r="F47" s="141">
        <v>110.5</v>
      </c>
      <c r="G47" s="141">
        <v>111.9</v>
      </c>
      <c r="H47" s="141">
        <v>111.5</v>
      </c>
      <c r="I47" s="141">
        <v>106.5</v>
      </c>
      <c r="J47" s="141">
        <v>106.7</v>
      </c>
      <c r="K47" s="141">
        <v>100.1</v>
      </c>
      <c r="L47" s="141">
        <v>108.2</v>
      </c>
      <c r="M47" s="141">
        <v>105.6</v>
      </c>
      <c r="N47" s="141">
        <v>110.8</v>
      </c>
      <c r="O47" s="141">
        <v>113.2</v>
      </c>
      <c r="P47" s="141">
        <v>107.9</v>
      </c>
      <c r="Q47" s="141">
        <v>105.1</v>
      </c>
      <c r="R47" s="141">
        <v>104.4</v>
      </c>
      <c r="S47" s="141">
        <v>112.1</v>
      </c>
      <c r="T47" s="141">
        <v>108</v>
      </c>
      <c r="U47" s="141">
        <v>114.6</v>
      </c>
      <c r="V47" s="141">
        <v>115.5</v>
      </c>
      <c r="W47" s="141">
        <v>110.8</v>
      </c>
      <c r="X47" s="142">
        <v>115.1</v>
      </c>
    </row>
    <row r="48" spans="1:24" x14ac:dyDescent="0.25">
      <c r="A48" s="140" t="str" cm="1">
        <f t="array" ref="A48">IF(A47&lt;EDATE(DATE3,-24),INDEX(INDEX,MATCH(EDATE(A47,1),INDEX!A:A,0),),"")</f>
        <v/>
      </c>
      <c r="B48" s="141"/>
      <c r="C48" s="141"/>
      <c r="D48" s="141"/>
      <c r="E48" s="141"/>
      <c r="F48" s="141"/>
      <c r="G48" s="141"/>
      <c r="H48" s="141"/>
      <c r="I48" s="141"/>
      <c r="J48" s="141"/>
      <c r="K48" s="141"/>
      <c r="L48" s="141"/>
      <c r="M48" s="141"/>
      <c r="N48" s="141"/>
      <c r="O48" s="141"/>
      <c r="P48" s="141"/>
      <c r="Q48" s="141"/>
      <c r="R48" s="141"/>
      <c r="S48" s="141"/>
      <c r="T48" s="141"/>
      <c r="U48" s="141"/>
      <c r="V48" s="141"/>
      <c r="W48" s="141"/>
      <c r="X48" s="142"/>
    </row>
    <row r="49" spans="1:24" x14ac:dyDescent="0.25">
      <c r="A49" s="140" t="str" cm="1">
        <f t="array" ref="A49">IF(A48&lt;EDATE(DATE3,-24),INDEX(INDEX,MATCH(EDATE(A48,1),INDEX!A:A,0),),"")</f>
        <v/>
      </c>
      <c r="B49" s="141"/>
      <c r="C49" s="141"/>
      <c r="D49" s="141"/>
      <c r="E49" s="141"/>
      <c r="F49" s="141"/>
      <c r="G49" s="141"/>
      <c r="H49" s="141"/>
      <c r="I49" s="141"/>
      <c r="J49" s="141"/>
      <c r="K49" s="141"/>
      <c r="L49" s="141"/>
      <c r="M49" s="141"/>
      <c r="N49" s="141"/>
      <c r="O49" s="141"/>
      <c r="P49" s="141"/>
      <c r="Q49" s="141"/>
      <c r="R49" s="141"/>
      <c r="S49" s="141"/>
      <c r="T49" s="141"/>
      <c r="U49" s="141"/>
      <c r="V49" s="141"/>
      <c r="W49" s="141"/>
      <c r="X49" s="142"/>
    </row>
    <row r="50" spans="1:24" x14ac:dyDescent="0.25">
      <c r="A50" s="140" t="str" cm="1">
        <f t="array" ref="A50">IF(A49&lt;EDATE(DATE3,-24),INDEX(INDEX,MATCH(EDATE(A49,1),INDEX!A:A,0),),"")</f>
        <v/>
      </c>
      <c r="B50" s="141"/>
      <c r="C50" s="141"/>
      <c r="D50" s="141"/>
      <c r="E50" s="141"/>
      <c r="F50" s="141"/>
      <c r="G50" s="141"/>
      <c r="H50" s="141"/>
      <c r="I50" s="141"/>
      <c r="J50" s="141"/>
      <c r="K50" s="141"/>
      <c r="L50" s="141"/>
      <c r="M50" s="141"/>
      <c r="N50" s="141"/>
      <c r="O50" s="141"/>
      <c r="P50" s="141"/>
      <c r="Q50" s="141"/>
      <c r="R50" s="141"/>
      <c r="S50" s="141"/>
      <c r="T50" s="141"/>
      <c r="U50" s="141"/>
      <c r="V50" s="141"/>
      <c r="W50" s="141"/>
      <c r="X50" s="142"/>
    </row>
    <row r="51" spans="1:24" x14ac:dyDescent="0.25">
      <c r="A51" s="143" t="str" cm="1">
        <f t="array" ref="A51">IF(A50&lt;EDATE(DATE3,-24),INDEX(INDEX,MATCH(EDATE(A50,1),INDEX!A:A,0),),"")</f>
        <v/>
      </c>
      <c r="B51" s="144"/>
      <c r="C51" s="144"/>
      <c r="D51" s="144"/>
      <c r="E51" s="144"/>
      <c r="F51" s="144"/>
      <c r="G51" s="144"/>
      <c r="H51" s="144"/>
      <c r="I51" s="144"/>
      <c r="J51" s="144"/>
      <c r="K51" s="144"/>
      <c r="L51" s="144"/>
      <c r="M51" s="144"/>
      <c r="N51" s="144"/>
      <c r="O51" s="144"/>
      <c r="P51" s="144"/>
      <c r="Q51" s="144"/>
      <c r="R51" s="144"/>
      <c r="S51" s="144"/>
      <c r="T51" s="144"/>
      <c r="U51" s="144"/>
      <c r="V51" s="144"/>
      <c r="W51" s="144"/>
      <c r="X51" s="145"/>
    </row>
    <row r="52" spans="1:24" x14ac:dyDescent="0.25">
      <c r="A52" s="146"/>
      <c r="B52" s="141">
        <f t="shared" ref="B52:X52" si="2">SUM(B39:B51)</f>
        <v>990.30000000000007</v>
      </c>
      <c r="C52" s="141">
        <f t="shared" si="2"/>
        <v>1028.4000000000001</v>
      </c>
      <c r="D52" s="141">
        <f t="shared" si="2"/>
        <v>987.5</v>
      </c>
      <c r="E52" s="141">
        <f t="shared" si="2"/>
        <v>969.69999999999993</v>
      </c>
      <c r="F52" s="141">
        <f t="shared" si="2"/>
        <v>995.4</v>
      </c>
      <c r="G52" s="141">
        <f t="shared" si="2"/>
        <v>1004.4</v>
      </c>
      <c r="H52" s="141">
        <f t="shared" si="2"/>
        <v>1002.7</v>
      </c>
      <c r="I52" s="141">
        <f t="shared" si="2"/>
        <v>958.7</v>
      </c>
      <c r="J52" s="141">
        <f t="shared" si="2"/>
        <v>966.30000000000007</v>
      </c>
      <c r="K52" s="141">
        <f t="shared" si="2"/>
        <v>902.30000000000007</v>
      </c>
      <c r="L52" s="141">
        <f t="shared" si="2"/>
        <v>973.09999999999991</v>
      </c>
      <c r="M52" s="141">
        <f t="shared" si="2"/>
        <v>939.5</v>
      </c>
      <c r="N52" s="141">
        <f t="shared" si="2"/>
        <v>998.0999999999998</v>
      </c>
      <c r="O52" s="141">
        <f t="shared" si="2"/>
        <v>1019.3000000000001</v>
      </c>
      <c r="P52" s="141">
        <f t="shared" si="2"/>
        <v>973.8</v>
      </c>
      <c r="Q52" s="141">
        <f t="shared" si="2"/>
        <v>946.80000000000007</v>
      </c>
      <c r="R52" s="141">
        <f t="shared" si="2"/>
        <v>941</v>
      </c>
      <c r="S52" s="141">
        <f t="shared" si="2"/>
        <v>1010.1</v>
      </c>
      <c r="T52" s="141">
        <f t="shared" si="2"/>
        <v>971.8</v>
      </c>
      <c r="U52" s="141">
        <f t="shared" si="2"/>
        <v>1030.0999999999999</v>
      </c>
      <c r="V52" s="141">
        <f t="shared" si="2"/>
        <v>1037.0999999999999</v>
      </c>
      <c r="W52" s="141">
        <f t="shared" si="2"/>
        <v>995.49999999999989</v>
      </c>
      <c r="X52" s="141">
        <f t="shared" si="2"/>
        <v>1038.3</v>
      </c>
    </row>
    <row r="53" spans="1:24" x14ac:dyDescent="0.25">
      <c r="A53" s="146"/>
      <c r="B53" s="141"/>
      <c r="C53" s="141"/>
      <c r="D53" s="141"/>
      <c r="E53" s="141"/>
      <c r="F53" s="141"/>
      <c r="G53" s="141"/>
      <c r="H53" s="141"/>
      <c r="I53" s="141"/>
      <c r="J53" s="141"/>
      <c r="K53" s="141"/>
      <c r="L53" s="141"/>
      <c r="M53" s="141"/>
      <c r="N53" s="141"/>
      <c r="O53" s="141"/>
      <c r="P53" s="141"/>
      <c r="Q53" s="141"/>
      <c r="R53" s="141"/>
      <c r="S53" s="141"/>
      <c r="T53" s="141"/>
      <c r="U53" s="141"/>
      <c r="V53" s="141"/>
      <c r="W53" s="141"/>
      <c r="X53" s="141"/>
    </row>
    <row r="54" spans="1:24" ht="18.75" x14ac:dyDescent="0.3">
      <c r="A54" s="146"/>
      <c r="B54" s="250" t="s">
        <v>221</v>
      </c>
      <c r="C54" s="250"/>
      <c r="D54" s="250"/>
      <c r="E54" s="250"/>
      <c r="F54" s="141"/>
      <c r="G54" s="141"/>
      <c r="H54" s="141"/>
      <c r="I54" s="141"/>
      <c r="J54" s="141"/>
      <c r="K54" s="141"/>
      <c r="L54" s="141"/>
      <c r="M54" s="141"/>
      <c r="N54" s="141"/>
      <c r="O54" s="141"/>
      <c r="P54" s="141"/>
      <c r="Q54" s="141"/>
      <c r="R54" s="141"/>
      <c r="S54" s="141"/>
      <c r="T54" s="141"/>
      <c r="U54" s="141"/>
      <c r="V54" s="141"/>
      <c r="W54" s="141"/>
      <c r="X54" s="141"/>
    </row>
    <row r="55" spans="1:24" x14ac:dyDescent="0.25">
      <c r="B55" s="251" t="s">
        <v>48</v>
      </c>
      <c r="C55" s="251"/>
      <c r="D55" s="251"/>
    </row>
    <row r="56" spans="1:24" x14ac:dyDescent="0.25">
      <c r="A56" s="138" cm="1">
        <f t="array" ref="A56:X56">INDEX(INDEX,MATCH(EDATE(DATE3,-5),INDEX!A:A,0),)</f>
        <v>44652</v>
      </c>
      <c r="B56" s="55">
        <v>126.6</v>
      </c>
      <c r="C56" s="55">
        <v>131</v>
      </c>
      <c r="D56" s="55">
        <v>120.9</v>
      </c>
      <c r="E56" s="55">
        <v>118.4</v>
      </c>
      <c r="F56" s="55">
        <v>131.30000000000001</v>
      </c>
      <c r="G56" s="55">
        <v>126.2</v>
      </c>
      <c r="H56" s="55">
        <v>126.1</v>
      </c>
      <c r="I56" s="55">
        <v>133.69999999999999</v>
      </c>
      <c r="J56" s="55">
        <v>119.3</v>
      </c>
      <c r="K56" s="55">
        <v>153.35</v>
      </c>
      <c r="L56" s="55">
        <v>128.19999999999999</v>
      </c>
      <c r="M56" s="55">
        <v>141.69999999999999</v>
      </c>
      <c r="N56" s="55">
        <v>121.8</v>
      </c>
      <c r="O56" s="55">
        <v>121.1</v>
      </c>
      <c r="P56" s="55">
        <v>136.69999999999999</v>
      </c>
      <c r="Q56" s="55">
        <v>117.8</v>
      </c>
      <c r="R56" s="55">
        <v>120.7</v>
      </c>
      <c r="S56" s="55">
        <v>121.7</v>
      </c>
      <c r="T56" s="55">
        <v>121.6</v>
      </c>
      <c r="U56" s="55">
        <v>117.4</v>
      </c>
      <c r="V56" s="55">
        <v>117.6</v>
      </c>
      <c r="W56" s="55">
        <v>137.19999999999999</v>
      </c>
      <c r="X56" s="8">
        <v>120.7</v>
      </c>
    </row>
    <row r="57" spans="1:24" x14ac:dyDescent="0.25">
      <c r="A57" s="140" cm="1">
        <f t="array" ref="A57:X57">INDEX(INDEX,MATCH(EDATE(A56,1),INDEX!A:A,0),)</f>
        <v>44682</v>
      </c>
      <c r="B57" s="141">
        <v>127.3</v>
      </c>
      <c r="C57" s="141">
        <v>133.30000000000001</v>
      </c>
      <c r="D57" s="141">
        <v>121.7</v>
      </c>
      <c r="E57" s="141">
        <v>120.9</v>
      </c>
      <c r="F57" s="141">
        <v>134</v>
      </c>
      <c r="G57" s="141">
        <v>128.19999999999999</v>
      </c>
      <c r="H57" s="141">
        <v>127.2</v>
      </c>
      <c r="I57" s="141">
        <v>134.30000000000001</v>
      </c>
      <c r="J57" s="141">
        <v>119.4</v>
      </c>
      <c r="K57" s="141">
        <v>158.69999999999999</v>
      </c>
      <c r="L57" s="141">
        <v>128.1</v>
      </c>
      <c r="M57" s="141">
        <v>140</v>
      </c>
      <c r="N57" s="141">
        <v>123.2</v>
      </c>
      <c r="O57" s="141">
        <v>121.3</v>
      </c>
      <c r="P57" s="141">
        <v>139.69999999999999</v>
      </c>
      <c r="Q57" s="141">
        <v>117.8</v>
      </c>
      <c r="R57" s="141">
        <v>123.6</v>
      </c>
      <c r="S57" s="141">
        <v>122.4</v>
      </c>
      <c r="T57" s="141">
        <v>122.3</v>
      </c>
      <c r="U57" s="141">
        <v>117.9</v>
      </c>
      <c r="V57" s="141">
        <v>118.1</v>
      </c>
      <c r="W57" s="141">
        <v>137.30000000000001</v>
      </c>
      <c r="X57" s="142">
        <v>121.3</v>
      </c>
    </row>
    <row r="58" spans="1:24" x14ac:dyDescent="0.25">
      <c r="A58" s="140" cm="1">
        <f t="array" ref="A58:X58">INDEX(INDEX,MATCH(EDATE(A57,1),INDEX!A:A,0),)</f>
        <v>44713</v>
      </c>
      <c r="B58" s="141">
        <v>129.1</v>
      </c>
      <c r="C58" s="141">
        <v>132.19999999999999</v>
      </c>
      <c r="D58" s="141">
        <v>124.3</v>
      </c>
      <c r="E58" s="141">
        <v>122.9</v>
      </c>
      <c r="F58" s="141">
        <v>134.1</v>
      </c>
      <c r="G58" s="141">
        <v>127.7</v>
      </c>
      <c r="H58" s="141">
        <v>126.6</v>
      </c>
      <c r="I58" s="141">
        <v>141.80000000000001</v>
      </c>
      <c r="J58" s="141">
        <v>122.5</v>
      </c>
      <c r="K58" s="141">
        <v>161.4</v>
      </c>
      <c r="L58" s="141">
        <v>130.69999999999999</v>
      </c>
      <c r="M58" s="141">
        <v>143.80000000000001</v>
      </c>
      <c r="N58" s="141">
        <v>124.5</v>
      </c>
      <c r="O58" s="141">
        <v>122.3</v>
      </c>
      <c r="P58" s="141">
        <v>139</v>
      </c>
      <c r="Q58" s="141">
        <v>119.9</v>
      </c>
      <c r="R58" s="141">
        <v>126.4</v>
      </c>
      <c r="S58" s="141">
        <v>123.9</v>
      </c>
      <c r="T58" s="141">
        <v>125.4</v>
      </c>
      <c r="U58" s="141">
        <v>118.9</v>
      </c>
      <c r="V58" s="141">
        <v>118.7</v>
      </c>
      <c r="W58" s="141">
        <v>138.80000000000001</v>
      </c>
      <c r="X58" s="142">
        <v>122.9</v>
      </c>
    </row>
    <row r="59" spans="1:24" x14ac:dyDescent="0.25">
      <c r="A59" s="140" cm="1">
        <f t="array" ref="A59:X59">INDEX(INDEX,MATCH(EDATE(A58,1),INDEX!A:A,0),)</f>
        <v>44743</v>
      </c>
      <c r="B59" s="141">
        <v>129.1</v>
      </c>
      <c r="C59" s="141">
        <v>132.19999999999999</v>
      </c>
      <c r="D59" s="141">
        <v>124.3</v>
      </c>
      <c r="E59" s="141">
        <v>124.2</v>
      </c>
      <c r="F59" s="141">
        <v>133</v>
      </c>
      <c r="G59" s="141">
        <v>127.9</v>
      </c>
      <c r="H59" s="141">
        <v>127.1</v>
      </c>
      <c r="I59" s="141">
        <v>139.9</v>
      </c>
      <c r="J59" s="141">
        <v>122.2</v>
      </c>
      <c r="K59" s="141">
        <v>161.6</v>
      </c>
      <c r="L59" s="141">
        <v>130.5</v>
      </c>
      <c r="M59" s="141">
        <v>142.5</v>
      </c>
      <c r="N59" s="141">
        <v>125.1</v>
      </c>
      <c r="O59" s="141">
        <v>122.7</v>
      </c>
      <c r="P59" s="141">
        <v>138.69999999999999</v>
      </c>
      <c r="Q59" s="141">
        <v>122.6</v>
      </c>
      <c r="R59" s="141">
        <v>128.69999999999999</v>
      </c>
      <c r="S59" s="141">
        <v>124.3</v>
      </c>
      <c r="T59" s="141">
        <v>128.30000000000001</v>
      </c>
      <c r="U59" s="141">
        <v>119.5</v>
      </c>
      <c r="V59" s="141">
        <v>119.3</v>
      </c>
      <c r="W59" s="141">
        <v>140.19999999999999</v>
      </c>
      <c r="X59" s="142">
        <v>123.4</v>
      </c>
    </row>
    <row r="60" spans="1:24" x14ac:dyDescent="0.25">
      <c r="A60" s="140" cm="1">
        <f t="array" ref="A60:X60">INDEX(INDEX,MATCH(EDATE(A59,1),INDEX!A:A,0),)</f>
        <v>44774</v>
      </c>
      <c r="B60" s="141">
        <v>128.9</v>
      </c>
      <c r="C60" s="141">
        <v>132.1</v>
      </c>
      <c r="D60" s="141">
        <v>123.8</v>
      </c>
      <c r="E60" s="141">
        <v>122.3</v>
      </c>
      <c r="F60" s="141">
        <v>132.19999999999999</v>
      </c>
      <c r="G60" s="141">
        <v>127.8</v>
      </c>
      <c r="H60" s="141">
        <v>127.1</v>
      </c>
      <c r="I60" s="141">
        <v>136</v>
      </c>
      <c r="J60" s="141">
        <v>121.4</v>
      </c>
      <c r="K60" s="141">
        <v>152.1</v>
      </c>
      <c r="L60" s="141">
        <v>130</v>
      </c>
      <c r="M60" s="141">
        <v>142.19999999999999</v>
      </c>
      <c r="N60" s="141">
        <v>125</v>
      </c>
      <c r="O60" s="141">
        <v>122.3</v>
      </c>
      <c r="P60" s="141">
        <v>137.5</v>
      </c>
      <c r="Q60" s="141">
        <v>123.3</v>
      </c>
      <c r="R60" s="141">
        <v>128.9</v>
      </c>
      <c r="S60" s="141">
        <v>124.1</v>
      </c>
      <c r="T60" s="141">
        <v>128.69999999999999</v>
      </c>
      <c r="U60" s="141">
        <v>119.3</v>
      </c>
      <c r="V60" s="141">
        <v>119.6</v>
      </c>
      <c r="W60" s="141">
        <v>159.80000000000001</v>
      </c>
      <c r="X60" s="142">
        <v>123.3</v>
      </c>
    </row>
    <row r="61" spans="1:24" x14ac:dyDescent="0.25">
      <c r="A61" s="143" cm="1">
        <f t="array" ref="A61:X61">INDEX(INDEX,MATCH(EDATE(A60,1),INDEX!A:A,0),)</f>
        <v>44805</v>
      </c>
      <c r="B61" s="144">
        <v>128.4</v>
      </c>
      <c r="C61" s="144">
        <v>130.9</v>
      </c>
      <c r="D61" s="144">
        <v>123.1</v>
      </c>
      <c r="E61" s="144">
        <v>120.1</v>
      </c>
      <c r="F61" s="144">
        <v>130.6</v>
      </c>
      <c r="G61" s="144">
        <v>126.4</v>
      </c>
      <c r="H61" s="144">
        <v>126</v>
      </c>
      <c r="I61" s="144">
        <v>131.19999999999999</v>
      </c>
      <c r="J61" s="144">
        <v>120.3</v>
      </c>
      <c r="K61" s="144">
        <v>150.9</v>
      </c>
      <c r="L61" s="144">
        <v>130.19999999999999</v>
      </c>
      <c r="M61" s="144">
        <v>144.69999999999999</v>
      </c>
      <c r="N61" s="144">
        <v>124.8</v>
      </c>
      <c r="O61" s="144">
        <v>122.1</v>
      </c>
      <c r="P61" s="144">
        <v>136</v>
      </c>
      <c r="Q61" s="144">
        <v>120.9</v>
      </c>
      <c r="R61" s="144">
        <v>127.6</v>
      </c>
      <c r="S61" s="144">
        <v>123.2</v>
      </c>
      <c r="T61" s="144">
        <v>125.7</v>
      </c>
      <c r="U61" s="144">
        <v>119.1</v>
      </c>
      <c r="V61" s="144">
        <v>119.3</v>
      </c>
      <c r="W61" s="144">
        <v>140.69999999999999</v>
      </c>
      <c r="X61" s="145">
        <v>122.2</v>
      </c>
    </row>
    <row r="62" spans="1:24" x14ac:dyDescent="0.25">
      <c r="A62" s="136" t="s">
        <v>222</v>
      </c>
      <c r="B62">
        <f>SUM(B59:B61)</f>
        <v>386.4</v>
      </c>
      <c r="C62" s="121">
        <f>SUM(C59:C61)</f>
        <v>395.19999999999993</v>
      </c>
      <c r="D62" s="121">
        <f t="shared" ref="D62:X62" si="3">SUM(D59:D61)</f>
        <v>371.2</v>
      </c>
      <c r="E62" s="121">
        <f t="shared" si="3"/>
        <v>366.6</v>
      </c>
      <c r="F62" s="121">
        <f t="shared" si="3"/>
        <v>395.79999999999995</v>
      </c>
      <c r="G62" s="121">
        <f t="shared" si="3"/>
        <v>382.1</v>
      </c>
      <c r="H62" s="121">
        <f t="shared" si="3"/>
        <v>380.2</v>
      </c>
      <c r="I62" s="121">
        <f t="shared" si="3"/>
        <v>407.09999999999997</v>
      </c>
      <c r="J62" s="121">
        <f t="shared" si="3"/>
        <v>363.90000000000003</v>
      </c>
      <c r="K62" s="121">
        <f t="shared" si="3"/>
        <v>464.6</v>
      </c>
      <c r="L62" s="121">
        <f t="shared" si="3"/>
        <v>390.7</v>
      </c>
      <c r="M62" s="121">
        <f t="shared" si="3"/>
        <v>429.4</v>
      </c>
      <c r="N62" s="121">
        <f t="shared" si="3"/>
        <v>374.9</v>
      </c>
      <c r="O62" s="121">
        <f t="shared" si="3"/>
        <v>367.1</v>
      </c>
      <c r="P62" s="121">
        <f t="shared" si="3"/>
        <v>412.2</v>
      </c>
      <c r="Q62" s="121">
        <f t="shared" si="3"/>
        <v>366.79999999999995</v>
      </c>
      <c r="R62" s="121">
        <f t="shared" si="3"/>
        <v>385.20000000000005</v>
      </c>
      <c r="S62" s="121">
        <f t="shared" si="3"/>
        <v>371.59999999999997</v>
      </c>
      <c r="T62" s="121">
        <f t="shared" si="3"/>
        <v>382.7</v>
      </c>
      <c r="U62" s="121">
        <f t="shared" si="3"/>
        <v>357.9</v>
      </c>
      <c r="V62" s="121">
        <f t="shared" si="3"/>
        <v>358.2</v>
      </c>
      <c r="W62" s="121">
        <f t="shared" si="3"/>
        <v>440.7</v>
      </c>
      <c r="X62" s="121">
        <f t="shared" si="3"/>
        <v>368.9</v>
      </c>
    </row>
    <row r="63" spans="1:24" x14ac:dyDescent="0.25">
      <c r="A63" s="136" t="s">
        <v>223</v>
      </c>
      <c r="B63">
        <f>SUM(B56:B58)</f>
        <v>383</v>
      </c>
      <c r="C63" s="121">
        <f>SUM(C56:C58)</f>
        <v>396.5</v>
      </c>
      <c r="D63" s="121">
        <f t="shared" ref="D63:X63" si="4">SUM(D56:D58)</f>
        <v>366.90000000000003</v>
      </c>
      <c r="E63" s="121">
        <f t="shared" si="4"/>
        <v>362.20000000000005</v>
      </c>
      <c r="F63" s="121">
        <f t="shared" si="4"/>
        <v>399.4</v>
      </c>
      <c r="G63" s="121">
        <f t="shared" si="4"/>
        <v>382.09999999999997</v>
      </c>
      <c r="H63" s="121">
        <f t="shared" si="4"/>
        <v>379.9</v>
      </c>
      <c r="I63" s="121">
        <f t="shared" si="4"/>
        <v>409.8</v>
      </c>
      <c r="J63" s="121">
        <f t="shared" si="4"/>
        <v>361.2</v>
      </c>
      <c r="K63" s="121">
        <f t="shared" si="4"/>
        <v>473.44999999999993</v>
      </c>
      <c r="L63" s="121">
        <f t="shared" si="4"/>
        <v>386.99999999999994</v>
      </c>
      <c r="M63" s="121">
        <f t="shared" si="4"/>
        <v>425.5</v>
      </c>
      <c r="N63" s="121">
        <f t="shared" si="4"/>
        <v>369.5</v>
      </c>
      <c r="O63" s="121">
        <f t="shared" si="4"/>
        <v>364.7</v>
      </c>
      <c r="P63" s="121">
        <f t="shared" si="4"/>
        <v>415.4</v>
      </c>
      <c r="Q63" s="121">
        <f t="shared" si="4"/>
        <v>355.5</v>
      </c>
      <c r="R63" s="121">
        <f t="shared" si="4"/>
        <v>370.70000000000005</v>
      </c>
      <c r="S63" s="121">
        <f t="shared" si="4"/>
        <v>368</v>
      </c>
      <c r="T63" s="121">
        <f t="shared" si="4"/>
        <v>369.29999999999995</v>
      </c>
      <c r="U63" s="121">
        <f t="shared" si="4"/>
        <v>354.20000000000005</v>
      </c>
      <c r="V63" s="121">
        <f t="shared" si="4"/>
        <v>354.4</v>
      </c>
      <c r="W63" s="121">
        <f t="shared" si="4"/>
        <v>413.3</v>
      </c>
      <c r="X63" s="121">
        <f t="shared" si="4"/>
        <v>364.9</v>
      </c>
    </row>
    <row r="65" spans="1:24" x14ac:dyDescent="0.25">
      <c r="B65" s="246" t="s">
        <v>49</v>
      </c>
      <c r="C65" s="246"/>
      <c r="D65" s="246"/>
    </row>
    <row r="66" spans="1:24" x14ac:dyDescent="0.25">
      <c r="A66" s="138" cm="1">
        <f t="array" ref="A66:X66">INDEX(INDEX,MATCH(EDATE(DATE3,-11),INDEX!A:A,0),)</f>
        <v>44470</v>
      </c>
      <c r="B66" s="55">
        <v>117.5</v>
      </c>
      <c r="C66" s="55">
        <v>123.6</v>
      </c>
      <c r="D66" s="55">
        <v>114.6</v>
      </c>
      <c r="E66" s="55">
        <v>111.2</v>
      </c>
      <c r="F66" s="55">
        <v>121.5</v>
      </c>
      <c r="G66" s="55">
        <v>118.8</v>
      </c>
      <c r="H66" s="55">
        <v>118.3</v>
      </c>
      <c r="I66" s="55">
        <v>119.7</v>
      </c>
      <c r="J66" s="55">
        <v>113.1</v>
      </c>
      <c r="K66" s="55">
        <v>137.6</v>
      </c>
      <c r="L66" s="55">
        <v>115.8</v>
      </c>
      <c r="M66" s="55">
        <v>117.7</v>
      </c>
      <c r="N66" s="55">
        <v>116.5</v>
      </c>
      <c r="O66" s="55">
        <v>116.1</v>
      </c>
      <c r="P66" s="55">
        <v>124.6</v>
      </c>
      <c r="Q66" s="55">
        <v>110.2</v>
      </c>
      <c r="R66" s="55">
        <v>112.5</v>
      </c>
      <c r="S66" s="55">
        <v>116.9</v>
      </c>
      <c r="T66" s="55">
        <v>114.2</v>
      </c>
      <c r="U66" s="55">
        <v>115.3</v>
      </c>
      <c r="V66" s="55">
        <v>115.4</v>
      </c>
      <c r="W66" s="55">
        <v>139.6</v>
      </c>
      <c r="X66" s="8">
        <v>117.6</v>
      </c>
    </row>
    <row r="67" spans="1:24" x14ac:dyDescent="0.25">
      <c r="A67" s="140" cm="1">
        <f t="array" ref="A67:X67">INDEX(INDEX,MATCH(EDATE(A66,1),INDEX!A:A,0),)</f>
        <v>44501</v>
      </c>
      <c r="B67" s="141">
        <v>118.2</v>
      </c>
      <c r="C67" s="141">
        <v>124</v>
      </c>
      <c r="D67" s="141">
        <v>115</v>
      </c>
      <c r="E67" s="141">
        <v>112.1</v>
      </c>
      <c r="F67" s="141">
        <v>121.8</v>
      </c>
      <c r="G67" s="141">
        <v>119.2</v>
      </c>
      <c r="H67" s="141">
        <v>118.8</v>
      </c>
      <c r="I67" s="141">
        <v>120.3</v>
      </c>
      <c r="J67" s="141">
        <v>113.4</v>
      </c>
      <c r="K67" s="141">
        <v>135.69999999999999</v>
      </c>
      <c r="L67" s="141">
        <v>118</v>
      </c>
      <c r="M67" s="141">
        <v>123.3</v>
      </c>
      <c r="N67" s="141">
        <v>117.1</v>
      </c>
      <c r="O67" s="141">
        <v>116.4</v>
      </c>
      <c r="P67" s="141">
        <v>126.6</v>
      </c>
      <c r="Q67" s="141">
        <v>110.3</v>
      </c>
      <c r="R67" s="141">
        <v>113.2</v>
      </c>
      <c r="S67" s="141">
        <v>117.3</v>
      </c>
      <c r="T67" s="141">
        <v>114.3</v>
      </c>
      <c r="U67" s="141">
        <v>115.5</v>
      </c>
      <c r="V67" s="141">
        <v>115.6</v>
      </c>
      <c r="W67" s="141">
        <v>144.5</v>
      </c>
      <c r="X67" s="142">
        <v>117.7</v>
      </c>
    </row>
    <row r="68" spans="1:24" x14ac:dyDescent="0.25">
      <c r="A68" s="140" cm="1">
        <f t="array" ref="A68:X68">INDEX(INDEX,MATCH(EDATE(A67,1),INDEX!A:A,0),)</f>
        <v>44531</v>
      </c>
      <c r="B68" s="141">
        <v>118.8</v>
      </c>
      <c r="C68" s="141">
        <v>124.4</v>
      </c>
      <c r="D68" s="141">
        <v>114.9</v>
      </c>
      <c r="E68" s="141">
        <v>111.9</v>
      </c>
      <c r="F68" s="141">
        <v>121.8</v>
      </c>
      <c r="G68" s="141">
        <v>119.6</v>
      </c>
      <c r="H68" s="141">
        <v>119.5</v>
      </c>
      <c r="I68" s="141">
        <v>119.5</v>
      </c>
      <c r="J68" s="141">
        <v>113.2</v>
      </c>
      <c r="K68" s="141">
        <v>138</v>
      </c>
      <c r="L68" s="141">
        <v>117</v>
      </c>
      <c r="M68" s="141">
        <v>120</v>
      </c>
      <c r="N68" s="141">
        <v>116.7</v>
      </c>
      <c r="O68" s="141">
        <v>116.5</v>
      </c>
      <c r="P68" s="141">
        <v>126.9</v>
      </c>
      <c r="Q68" s="141">
        <v>110.9</v>
      </c>
      <c r="R68" s="141">
        <v>112.5</v>
      </c>
      <c r="S68" s="141">
        <v>117.5</v>
      </c>
      <c r="T68" s="141">
        <v>114.8</v>
      </c>
      <c r="U68" s="141">
        <v>115.5</v>
      </c>
      <c r="V68" s="141">
        <v>115.9</v>
      </c>
      <c r="W68" s="141">
        <v>136</v>
      </c>
      <c r="X68" s="142">
        <v>117.8</v>
      </c>
    </row>
    <row r="69" spans="1:24" x14ac:dyDescent="0.25">
      <c r="A69" s="140" cm="1">
        <f t="array" ref="A69:X69">INDEX(INDEX,MATCH(EDATE(A68,1),INDEX!A:A,0),)</f>
        <v>44562</v>
      </c>
      <c r="B69" s="141">
        <v>119.9</v>
      </c>
      <c r="C69" s="141">
        <v>125.3</v>
      </c>
      <c r="D69" s="141">
        <v>117.4</v>
      </c>
      <c r="E69" s="141">
        <v>114.2</v>
      </c>
      <c r="F69" s="141">
        <v>123.6</v>
      </c>
      <c r="G69" s="141">
        <v>121</v>
      </c>
      <c r="H69" s="141">
        <v>121.2</v>
      </c>
      <c r="I69" s="141">
        <v>124.1</v>
      </c>
      <c r="J69" s="141">
        <v>115.1</v>
      </c>
      <c r="K69" s="141">
        <v>138.69999999999999</v>
      </c>
      <c r="L69" s="141">
        <v>118.5</v>
      </c>
      <c r="M69" s="141">
        <v>121.1</v>
      </c>
      <c r="N69" s="141">
        <v>118.8</v>
      </c>
      <c r="O69" s="141">
        <v>118.3</v>
      </c>
      <c r="P69" s="141">
        <v>130.19999999999999</v>
      </c>
      <c r="Q69" s="141">
        <v>114.1</v>
      </c>
      <c r="R69" s="141">
        <v>116.9</v>
      </c>
      <c r="S69" s="141">
        <v>118.7</v>
      </c>
      <c r="T69" s="141">
        <v>117.8</v>
      </c>
      <c r="U69" s="141">
        <v>116.1</v>
      </c>
      <c r="V69" s="141">
        <v>116.3</v>
      </c>
      <c r="W69" s="141">
        <v>135.80000000000001</v>
      </c>
      <c r="X69" s="142">
        <v>118.6</v>
      </c>
    </row>
    <row r="70" spans="1:24" x14ac:dyDescent="0.25">
      <c r="A70" s="140" cm="1">
        <f t="array" ref="A70:X70">INDEX(INDEX,MATCH(EDATE(A69,1),INDEX!A:A,0),)</f>
        <v>44593</v>
      </c>
      <c r="B70" s="141">
        <v>121.3</v>
      </c>
      <c r="C70" s="141">
        <v>125.7</v>
      </c>
      <c r="D70" s="141">
        <v>118.3</v>
      </c>
      <c r="E70" s="141">
        <v>114.9</v>
      </c>
      <c r="F70" s="141">
        <v>124.4</v>
      </c>
      <c r="G70" s="141">
        <v>121.6</v>
      </c>
      <c r="H70" s="141">
        <v>121.9</v>
      </c>
      <c r="I70" s="141">
        <v>127.1</v>
      </c>
      <c r="J70" s="141">
        <v>116.3</v>
      </c>
      <c r="K70" s="141">
        <v>140</v>
      </c>
      <c r="L70" s="141">
        <v>120.7</v>
      </c>
      <c r="M70" s="141">
        <v>125.7</v>
      </c>
      <c r="N70" s="141">
        <v>119.4</v>
      </c>
      <c r="O70" s="141">
        <v>118.9</v>
      </c>
      <c r="P70" s="141">
        <v>131.19999999999999</v>
      </c>
      <c r="Q70" s="141">
        <v>114.7</v>
      </c>
      <c r="R70" s="141">
        <v>116.9</v>
      </c>
      <c r="S70" s="141">
        <v>119.9</v>
      </c>
      <c r="T70" s="141">
        <v>118.7</v>
      </c>
      <c r="U70" s="141">
        <v>116.5</v>
      </c>
      <c r="V70" s="141">
        <v>116.8</v>
      </c>
      <c r="W70" s="141">
        <v>138.5</v>
      </c>
      <c r="X70" s="142">
        <v>119.3</v>
      </c>
    </row>
    <row r="71" spans="1:24" x14ac:dyDescent="0.25">
      <c r="A71" s="140" cm="1">
        <f t="array" ref="A71:X71">INDEX(INDEX,MATCH(EDATE(A70,1),INDEX!A:A,0),)</f>
        <v>44621</v>
      </c>
      <c r="B71" s="141">
        <v>124.7</v>
      </c>
      <c r="C71" s="141">
        <v>127.2</v>
      </c>
      <c r="D71" s="141">
        <v>121.6</v>
      </c>
      <c r="E71" s="141">
        <v>118.1</v>
      </c>
      <c r="F71" s="141">
        <v>128.4</v>
      </c>
      <c r="G71" s="141">
        <v>123.4</v>
      </c>
      <c r="H71" s="141">
        <v>123.7</v>
      </c>
      <c r="I71" s="141">
        <v>138.69999999999999</v>
      </c>
      <c r="J71" s="141">
        <v>121.5</v>
      </c>
      <c r="K71" s="141">
        <v>143.80000000000001</v>
      </c>
      <c r="L71" s="141">
        <v>125.6</v>
      </c>
      <c r="M71" s="141">
        <v>134.30000000000001</v>
      </c>
      <c r="N71" s="141">
        <v>121</v>
      </c>
      <c r="O71" s="141">
        <v>120.8</v>
      </c>
      <c r="P71" s="141">
        <v>132.6</v>
      </c>
      <c r="Q71" s="141">
        <v>116.4</v>
      </c>
      <c r="R71" s="141">
        <v>119.2</v>
      </c>
      <c r="S71" s="141">
        <v>121.2</v>
      </c>
      <c r="T71" s="141">
        <v>120.5</v>
      </c>
      <c r="U71" s="141">
        <v>117.4</v>
      </c>
      <c r="V71" s="141">
        <v>117.3</v>
      </c>
      <c r="W71" s="141">
        <v>136.5</v>
      </c>
      <c r="X71" s="142">
        <v>121.4</v>
      </c>
    </row>
    <row r="72" spans="1:24" x14ac:dyDescent="0.25">
      <c r="A72" s="140" cm="1">
        <f t="array" ref="A72:X72">INDEX(INDEX,MATCH(EDATE(A71,1),INDEX!A:A,0),)</f>
        <v>44652</v>
      </c>
      <c r="B72" s="141">
        <v>126.6</v>
      </c>
      <c r="C72" s="141">
        <v>131</v>
      </c>
      <c r="D72" s="141">
        <v>120.9</v>
      </c>
      <c r="E72" s="141">
        <v>118.4</v>
      </c>
      <c r="F72" s="141">
        <v>131.30000000000001</v>
      </c>
      <c r="G72" s="141">
        <v>126.2</v>
      </c>
      <c r="H72" s="141">
        <v>126.1</v>
      </c>
      <c r="I72" s="141">
        <v>133.69999999999999</v>
      </c>
      <c r="J72" s="141">
        <v>119.3</v>
      </c>
      <c r="K72" s="141">
        <v>153.35</v>
      </c>
      <c r="L72" s="141">
        <v>128.19999999999999</v>
      </c>
      <c r="M72" s="141">
        <v>141.69999999999999</v>
      </c>
      <c r="N72" s="141">
        <v>121.8</v>
      </c>
      <c r="O72" s="141">
        <v>121.1</v>
      </c>
      <c r="P72" s="141">
        <v>136.69999999999999</v>
      </c>
      <c r="Q72" s="141">
        <v>117.8</v>
      </c>
      <c r="R72" s="141">
        <v>120.7</v>
      </c>
      <c r="S72" s="141">
        <v>121.7</v>
      </c>
      <c r="T72" s="141">
        <v>121.6</v>
      </c>
      <c r="U72" s="141">
        <v>117.4</v>
      </c>
      <c r="V72" s="141">
        <v>117.6</v>
      </c>
      <c r="W72" s="141">
        <v>137.19999999999999</v>
      </c>
      <c r="X72" s="142">
        <v>120.7</v>
      </c>
    </row>
    <row r="73" spans="1:24" x14ac:dyDescent="0.25">
      <c r="A73" s="140" cm="1">
        <f t="array" ref="A73:X73">INDEX(INDEX,MATCH(EDATE(A72,1),INDEX!A:A,0),)</f>
        <v>44682</v>
      </c>
      <c r="B73" s="141">
        <v>127.3</v>
      </c>
      <c r="C73" s="141">
        <v>133.30000000000001</v>
      </c>
      <c r="D73" s="141">
        <v>121.7</v>
      </c>
      <c r="E73" s="141">
        <v>120.9</v>
      </c>
      <c r="F73" s="141">
        <v>134</v>
      </c>
      <c r="G73" s="141">
        <v>128.19999999999999</v>
      </c>
      <c r="H73" s="141">
        <v>127.2</v>
      </c>
      <c r="I73" s="141">
        <v>134.30000000000001</v>
      </c>
      <c r="J73" s="141">
        <v>119.4</v>
      </c>
      <c r="K73" s="141">
        <v>158.69999999999999</v>
      </c>
      <c r="L73" s="141">
        <v>128.1</v>
      </c>
      <c r="M73" s="141">
        <v>140</v>
      </c>
      <c r="N73" s="141">
        <v>123.2</v>
      </c>
      <c r="O73" s="141">
        <v>121.3</v>
      </c>
      <c r="P73" s="141">
        <v>139.69999999999999</v>
      </c>
      <c r="Q73" s="141">
        <v>117.8</v>
      </c>
      <c r="R73" s="141">
        <v>123.6</v>
      </c>
      <c r="S73" s="141">
        <v>122.4</v>
      </c>
      <c r="T73" s="141">
        <v>122.3</v>
      </c>
      <c r="U73" s="141">
        <v>117.9</v>
      </c>
      <c r="V73" s="141">
        <v>118.1</v>
      </c>
      <c r="W73" s="141">
        <v>137.30000000000001</v>
      </c>
      <c r="X73" s="142">
        <v>121.3</v>
      </c>
    </row>
    <row r="74" spans="1:24" x14ac:dyDescent="0.25">
      <c r="A74" s="140" cm="1">
        <f t="array" ref="A74:X74">INDEX(INDEX,MATCH(EDATE(A73,1),INDEX!A:A,0),)</f>
        <v>44713</v>
      </c>
      <c r="B74" s="141">
        <v>129.1</v>
      </c>
      <c r="C74" s="141">
        <v>132.19999999999999</v>
      </c>
      <c r="D74" s="141">
        <v>124.3</v>
      </c>
      <c r="E74" s="141">
        <v>122.9</v>
      </c>
      <c r="F74" s="141">
        <v>134.1</v>
      </c>
      <c r="G74" s="141">
        <v>127.7</v>
      </c>
      <c r="H74" s="141">
        <v>126.6</v>
      </c>
      <c r="I74" s="141">
        <v>141.80000000000001</v>
      </c>
      <c r="J74" s="141">
        <v>122.5</v>
      </c>
      <c r="K74" s="141">
        <v>161.4</v>
      </c>
      <c r="L74" s="141">
        <v>130.69999999999999</v>
      </c>
      <c r="M74" s="141">
        <v>143.80000000000001</v>
      </c>
      <c r="N74" s="141">
        <v>124.5</v>
      </c>
      <c r="O74" s="141">
        <v>122.3</v>
      </c>
      <c r="P74" s="141">
        <v>139</v>
      </c>
      <c r="Q74" s="141">
        <v>119.9</v>
      </c>
      <c r="R74" s="141">
        <v>126.4</v>
      </c>
      <c r="S74" s="141">
        <v>123.9</v>
      </c>
      <c r="T74" s="141">
        <v>125.4</v>
      </c>
      <c r="U74" s="141">
        <v>118.9</v>
      </c>
      <c r="V74" s="141">
        <v>118.7</v>
      </c>
      <c r="W74" s="141">
        <v>138.80000000000001</v>
      </c>
      <c r="X74" s="142">
        <v>122.9</v>
      </c>
    </row>
    <row r="75" spans="1:24" x14ac:dyDescent="0.25">
      <c r="A75" s="140" cm="1">
        <f t="array" ref="A75:X75">INDEX(INDEX,MATCH(EDATE(A74,1),INDEX!A:A,0),)</f>
        <v>44743</v>
      </c>
      <c r="B75" s="141">
        <v>129.1</v>
      </c>
      <c r="C75" s="141">
        <v>132.19999999999999</v>
      </c>
      <c r="D75" s="141">
        <v>124.3</v>
      </c>
      <c r="E75" s="141">
        <v>124.2</v>
      </c>
      <c r="F75" s="141">
        <v>133</v>
      </c>
      <c r="G75" s="141">
        <v>127.9</v>
      </c>
      <c r="H75" s="141">
        <v>127.1</v>
      </c>
      <c r="I75" s="141">
        <v>139.9</v>
      </c>
      <c r="J75" s="141">
        <v>122.2</v>
      </c>
      <c r="K75" s="141">
        <v>161.6</v>
      </c>
      <c r="L75" s="141">
        <v>130.5</v>
      </c>
      <c r="M75" s="141">
        <v>142.5</v>
      </c>
      <c r="N75" s="141">
        <v>125.1</v>
      </c>
      <c r="O75" s="141">
        <v>122.7</v>
      </c>
      <c r="P75" s="141">
        <v>138.69999999999999</v>
      </c>
      <c r="Q75" s="141">
        <v>122.6</v>
      </c>
      <c r="R75" s="141">
        <v>128.69999999999999</v>
      </c>
      <c r="S75" s="141">
        <v>124.3</v>
      </c>
      <c r="T75" s="141">
        <v>128.30000000000001</v>
      </c>
      <c r="U75" s="141">
        <v>119.5</v>
      </c>
      <c r="V75" s="141">
        <v>119.3</v>
      </c>
      <c r="W75" s="141">
        <v>140.19999999999999</v>
      </c>
      <c r="X75" s="142">
        <v>123.4</v>
      </c>
    </row>
    <row r="76" spans="1:24" x14ac:dyDescent="0.25">
      <c r="A76" s="140" cm="1">
        <f t="array" ref="A76:X76">INDEX(INDEX,MATCH(EDATE(A75,1),INDEX!A:A,0),)</f>
        <v>44774</v>
      </c>
      <c r="B76" s="141">
        <v>128.9</v>
      </c>
      <c r="C76" s="141">
        <v>132.1</v>
      </c>
      <c r="D76" s="141">
        <v>123.8</v>
      </c>
      <c r="E76" s="141">
        <v>122.3</v>
      </c>
      <c r="F76" s="141">
        <v>132.19999999999999</v>
      </c>
      <c r="G76" s="141">
        <v>127.8</v>
      </c>
      <c r="H76" s="141">
        <v>127.1</v>
      </c>
      <c r="I76" s="141">
        <v>136</v>
      </c>
      <c r="J76" s="141">
        <v>121.4</v>
      </c>
      <c r="K76" s="141">
        <v>152.1</v>
      </c>
      <c r="L76" s="141">
        <v>130</v>
      </c>
      <c r="M76" s="141">
        <v>142.19999999999999</v>
      </c>
      <c r="N76" s="141">
        <v>125</v>
      </c>
      <c r="O76" s="141">
        <v>122.3</v>
      </c>
      <c r="P76" s="141">
        <v>137.5</v>
      </c>
      <c r="Q76" s="141">
        <v>123.3</v>
      </c>
      <c r="R76" s="141">
        <v>128.9</v>
      </c>
      <c r="S76" s="141">
        <v>124.1</v>
      </c>
      <c r="T76" s="141">
        <v>128.69999999999999</v>
      </c>
      <c r="U76" s="141">
        <v>119.3</v>
      </c>
      <c r="V76" s="141">
        <v>119.6</v>
      </c>
      <c r="W76" s="141">
        <v>159.80000000000001</v>
      </c>
      <c r="X76" s="142">
        <v>123.3</v>
      </c>
    </row>
    <row r="77" spans="1:24" x14ac:dyDescent="0.25">
      <c r="A77" s="143" cm="1">
        <f t="array" ref="A77:X77">INDEX(INDEX,MATCH(EDATE(A76,1),INDEX!A:A,0),)</f>
        <v>44805</v>
      </c>
      <c r="B77" s="144">
        <v>128.4</v>
      </c>
      <c r="C77" s="144">
        <v>130.9</v>
      </c>
      <c r="D77" s="144">
        <v>123.1</v>
      </c>
      <c r="E77" s="144">
        <v>120.1</v>
      </c>
      <c r="F77" s="144">
        <v>130.6</v>
      </c>
      <c r="G77" s="144">
        <v>126.4</v>
      </c>
      <c r="H77" s="144">
        <v>126</v>
      </c>
      <c r="I77" s="144">
        <v>131.19999999999999</v>
      </c>
      <c r="J77" s="144">
        <v>120.3</v>
      </c>
      <c r="K77" s="144">
        <v>150.9</v>
      </c>
      <c r="L77" s="144">
        <v>130.19999999999999</v>
      </c>
      <c r="M77" s="144">
        <v>144.69999999999999</v>
      </c>
      <c r="N77" s="144">
        <v>124.8</v>
      </c>
      <c r="O77" s="144">
        <v>122.1</v>
      </c>
      <c r="P77" s="144">
        <v>136</v>
      </c>
      <c r="Q77" s="144">
        <v>120.9</v>
      </c>
      <c r="R77" s="144">
        <v>127.6</v>
      </c>
      <c r="S77" s="144">
        <v>123.2</v>
      </c>
      <c r="T77" s="144">
        <v>125.7</v>
      </c>
      <c r="U77" s="144">
        <v>119.1</v>
      </c>
      <c r="V77" s="144">
        <v>119.3</v>
      </c>
      <c r="W77" s="144">
        <v>140.69999999999999</v>
      </c>
      <c r="X77" s="145">
        <v>122.2</v>
      </c>
    </row>
    <row r="78" spans="1:24" x14ac:dyDescent="0.25">
      <c r="A78" s="136" t="s">
        <v>222</v>
      </c>
      <c r="B78">
        <f>SUM(B72:B77)</f>
        <v>769.4</v>
      </c>
      <c r="C78" s="121">
        <f t="shared" ref="C78:X78" si="5">SUM(C72:C77)</f>
        <v>791.7</v>
      </c>
      <c r="D78" s="121">
        <f t="shared" si="5"/>
        <v>738.1</v>
      </c>
      <c r="E78" s="121">
        <f t="shared" si="5"/>
        <v>728.80000000000007</v>
      </c>
      <c r="F78" s="121">
        <f t="shared" si="5"/>
        <v>795.19999999999993</v>
      </c>
      <c r="G78" s="121">
        <f t="shared" si="5"/>
        <v>764.19999999999993</v>
      </c>
      <c r="H78" s="121">
        <f t="shared" si="5"/>
        <v>760.1</v>
      </c>
      <c r="I78" s="121">
        <f t="shared" si="5"/>
        <v>816.90000000000009</v>
      </c>
      <c r="J78" s="121">
        <f t="shared" si="5"/>
        <v>725.09999999999991</v>
      </c>
      <c r="K78" s="121">
        <f t="shared" si="5"/>
        <v>938.05</v>
      </c>
      <c r="L78" s="121">
        <f t="shared" si="5"/>
        <v>777.7</v>
      </c>
      <c r="M78" s="121">
        <f t="shared" si="5"/>
        <v>854.90000000000009</v>
      </c>
      <c r="N78" s="121">
        <f t="shared" si="5"/>
        <v>744.4</v>
      </c>
      <c r="O78" s="121">
        <f t="shared" si="5"/>
        <v>731.8</v>
      </c>
      <c r="P78" s="121">
        <f t="shared" si="5"/>
        <v>827.59999999999991</v>
      </c>
      <c r="Q78" s="121">
        <f t="shared" si="5"/>
        <v>722.3</v>
      </c>
      <c r="R78" s="121">
        <f t="shared" si="5"/>
        <v>755.90000000000009</v>
      </c>
      <c r="S78" s="121">
        <f t="shared" si="5"/>
        <v>739.6</v>
      </c>
      <c r="T78" s="121">
        <f t="shared" si="5"/>
        <v>752</v>
      </c>
      <c r="U78" s="121">
        <f t="shared" si="5"/>
        <v>712.1</v>
      </c>
      <c r="V78" s="121">
        <f t="shared" si="5"/>
        <v>712.59999999999991</v>
      </c>
      <c r="W78" s="121">
        <f t="shared" si="5"/>
        <v>854</v>
      </c>
      <c r="X78" s="121">
        <f t="shared" si="5"/>
        <v>733.8</v>
      </c>
    </row>
    <row r="79" spans="1:24" x14ac:dyDescent="0.25">
      <c r="A79" s="136" t="s">
        <v>223</v>
      </c>
      <c r="B79">
        <f>SUM(B66:B71)</f>
        <v>720.4</v>
      </c>
      <c r="C79" s="121">
        <f t="shared" ref="C79:X79" si="6">SUM(C66:C71)</f>
        <v>750.2</v>
      </c>
      <c r="D79" s="121">
        <f t="shared" si="6"/>
        <v>701.8</v>
      </c>
      <c r="E79" s="121">
        <f t="shared" si="6"/>
        <v>682.40000000000009</v>
      </c>
      <c r="F79" s="121">
        <f t="shared" si="6"/>
        <v>741.5</v>
      </c>
      <c r="G79" s="121">
        <f t="shared" si="6"/>
        <v>723.6</v>
      </c>
      <c r="H79" s="121">
        <f t="shared" si="6"/>
        <v>723.40000000000009</v>
      </c>
      <c r="I79" s="121">
        <f t="shared" si="6"/>
        <v>749.40000000000009</v>
      </c>
      <c r="J79" s="121">
        <f t="shared" si="6"/>
        <v>692.59999999999991</v>
      </c>
      <c r="K79" s="121">
        <f t="shared" si="6"/>
        <v>833.8</v>
      </c>
      <c r="L79" s="121">
        <f t="shared" si="6"/>
        <v>715.6</v>
      </c>
      <c r="M79" s="121">
        <f t="shared" si="6"/>
        <v>742.10000000000014</v>
      </c>
      <c r="N79" s="121">
        <f t="shared" si="6"/>
        <v>709.5</v>
      </c>
      <c r="O79" s="121">
        <f t="shared" si="6"/>
        <v>707</v>
      </c>
      <c r="P79" s="121">
        <f t="shared" si="6"/>
        <v>772.1</v>
      </c>
      <c r="Q79" s="121">
        <f t="shared" si="6"/>
        <v>676.6</v>
      </c>
      <c r="R79" s="121">
        <f t="shared" si="6"/>
        <v>691.2</v>
      </c>
      <c r="S79" s="121">
        <f t="shared" si="6"/>
        <v>711.5</v>
      </c>
      <c r="T79" s="121">
        <f t="shared" si="6"/>
        <v>700.30000000000007</v>
      </c>
      <c r="U79" s="121">
        <f t="shared" si="6"/>
        <v>696.3</v>
      </c>
      <c r="V79" s="121">
        <f t="shared" si="6"/>
        <v>697.3</v>
      </c>
      <c r="W79" s="121">
        <f t="shared" si="6"/>
        <v>830.90000000000009</v>
      </c>
      <c r="X79" s="121">
        <f t="shared" si="6"/>
        <v>712.4</v>
      </c>
    </row>
    <row r="81" spans="1:24" ht="18.75" x14ac:dyDescent="0.3">
      <c r="B81" s="244" t="s">
        <v>201</v>
      </c>
      <c r="C81" s="244"/>
      <c r="D81" s="244"/>
      <c r="E81" s="244"/>
    </row>
    <row r="82" spans="1:24" x14ac:dyDescent="0.25">
      <c r="A82" s="136" cm="1">
        <f t="array" ref="A82:X82">INDEX(INDEX,MATCH(DATE1,INDEX!A:A,0),)</f>
        <v>43101</v>
      </c>
      <c r="B82" s="121">
        <v>107.3</v>
      </c>
      <c r="C82">
        <v>111.2</v>
      </c>
      <c r="D82">
        <v>107.7</v>
      </c>
      <c r="E82">
        <v>107.2</v>
      </c>
      <c r="F82">
        <v>109.5</v>
      </c>
      <c r="G82">
        <v>108.8</v>
      </c>
      <c r="H82">
        <v>108.6</v>
      </c>
      <c r="I82">
        <v>109.7</v>
      </c>
      <c r="J82">
        <v>106.7</v>
      </c>
      <c r="K82">
        <v>105.3</v>
      </c>
      <c r="L82">
        <v>105.1</v>
      </c>
      <c r="M82">
        <v>100.7</v>
      </c>
      <c r="N82">
        <v>107.9</v>
      </c>
      <c r="O82">
        <v>110.1</v>
      </c>
      <c r="P82">
        <v>109.7</v>
      </c>
      <c r="Q82" t="e">
        <v>#N/A</v>
      </c>
      <c r="R82">
        <v>102.5</v>
      </c>
      <c r="S82">
        <v>109</v>
      </c>
      <c r="T82">
        <v>106.5</v>
      </c>
      <c r="U82">
        <v>110.4</v>
      </c>
      <c r="V82">
        <v>110.8</v>
      </c>
      <c r="W82">
        <v>108.4</v>
      </c>
      <c r="X82">
        <v>111.2</v>
      </c>
    </row>
    <row r="83" spans="1:24" x14ac:dyDescent="0.25">
      <c r="A83" s="136" cm="1">
        <f t="array" ref="A83:X83">INDEX(INDEX,MATCH(DATE2,INDEX!A:A,0),)</f>
        <v>44805</v>
      </c>
      <c r="B83">
        <v>128.4</v>
      </c>
      <c r="C83">
        <v>130.9</v>
      </c>
      <c r="D83">
        <v>123.1</v>
      </c>
      <c r="E83">
        <v>120.1</v>
      </c>
      <c r="F83">
        <v>130.6</v>
      </c>
      <c r="G83">
        <v>126.4</v>
      </c>
      <c r="H83">
        <v>126</v>
      </c>
      <c r="I83">
        <v>131.19999999999999</v>
      </c>
      <c r="J83">
        <v>120.3</v>
      </c>
      <c r="K83">
        <v>150.9</v>
      </c>
      <c r="L83">
        <v>130.19999999999999</v>
      </c>
      <c r="M83">
        <v>144.69999999999999</v>
      </c>
      <c r="N83">
        <v>124.8</v>
      </c>
      <c r="O83">
        <v>122.1</v>
      </c>
      <c r="P83">
        <v>136</v>
      </c>
      <c r="Q83">
        <v>120.9</v>
      </c>
      <c r="R83">
        <v>127.6</v>
      </c>
      <c r="S83">
        <v>123.2</v>
      </c>
      <c r="T83">
        <v>125.7</v>
      </c>
      <c r="U83">
        <v>119.1</v>
      </c>
      <c r="V83">
        <v>119.3</v>
      </c>
      <c r="W83">
        <v>140.69999999999999</v>
      </c>
      <c r="X83">
        <v>122.2</v>
      </c>
    </row>
  </sheetData>
  <sheetProtection algorithmName="SHA-512" hashValue="uVSosiNAMqtkBjnIfx/SjZKCE8uUEAsbHVDbTjnsEWbIpw8qsWC7AxM2CXzbtMnZoBvfq2ZrMYekADVy728B1A==" saltValue="51C9EeN8t+/QS+2eDGvxjA==" spinCount="100000" sheet="1" objects="1" scenarios="1"/>
  <mergeCells count="9">
    <mergeCell ref="B81:E81"/>
    <mergeCell ref="B6:D6"/>
    <mergeCell ref="B22:D22"/>
    <mergeCell ref="B38:D38"/>
    <mergeCell ref="B1:F2"/>
    <mergeCell ref="B5:E5"/>
    <mergeCell ref="B54:E54"/>
    <mergeCell ref="B55:D55"/>
    <mergeCell ref="B65:D6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B190" activePane="bottomRight" state="frozen"/>
      <selection activeCell="H164" sqref="H164"/>
      <selection pane="topRight" activeCell="H164" sqref="H164"/>
      <selection pane="bottomLeft" activeCell="H164" sqref="H164"/>
      <selection pane="bottomRight" activeCell="H164" sqref="H164"/>
    </sheetView>
  </sheetViews>
  <sheetFormatPr baseColWidth="10" defaultRowHeight="15" x14ac:dyDescent="0.25"/>
  <cols>
    <col min="1" max="1" width="13.140625" style="136" bestFit="1" customWidth="1"/>
  </cols>
  <sheetData>
    <row r="1" spans="1:42" ht="15" customHeight="1" x14ac:dyDescent="0.25">
      <c r="B1" s="253" t="s">
        <v>217</v>
      </c>
      <c r="C1" s="253"/>
      <c r="D1" s="253"/>
      <c r="E1" s="253"/>
      <c r="F1" s="253"/>
    </row>
    <row r="2" spans="1:42" ht="15" customHeight="1" x14ac:dyDescent="0.25">
      <c r="B2" s="253"/>
      <c r="C2" s="253"/>
      <c r="D2" s="253"/>
      <c r="E2" s="253"/>
      <c r="F2" s="253"/>
    </row>
    <row r="3" spans="1:42" x14ac:dyDescent="0.25">
      <c r="B3" t="s">
        <v>134</v>
      </c>
      <c r="C3" t="s">
        <v>135</v>
      </c>
      <c r="D3" t="s">
        <v>136</v>
      </c>
      <c r="E3" t="s">
        <v>137</v>
      </c>
      <c r="F3" t="s">
        <v>138</v>
      </c>
      <c r="G3" t="s">
        <v>139</v>
      </c>
      <c r="H3" t="s">
        <v>140</v>
      </c>
      <c r="I3" t="s">
        <v>141</v>
      </c>
      <c r="J3" t="s">
        <v>294</v>
      </c>
      <c r="K3" t="s">
        <v>64</v>
      </c>
      <c r="L3" t="s">
        <v>142</v>
      </c>
      <c r="M3" t="s">
        <v>143</v>
      </c>
      <c r="N3" t="s">
        <v>144</v>
      </c>
      <c r="O3" t="s">
        <v>145</v>
      </c>
      <c r="P3" t="s">
        <v>146</v>
      </c>
      <c r="Q3" t="s">
        <v>147</v>
      </c>
      <c r="R3" t="s">
        <v>148</v>
      </c>
      <c r="S3" t="s">
        <v>286</v>
      </c>
      <c r="T3" t="s">
        <v>149</v>
      </c>
      <c r="U3" t="s">
        <v>150</v>
      </c>
      <c r="V3" t="s">
        <v>151</v>
      </c>
      <c r="W3" t="s">
        <v>152</v>
      </c>
      <c r="X3" t="s">
        <v>153</v>
      </c>
      <c r="Y3" t="s">
        <v>154</v>
      </c>
      <c r="Z3" s="224" t="s">
        <v>298</v>
      </c>
      <c r="AA3" t="s">
        <v>292</v>
      </c>
      <c r="AB3" t="s">
        <v>156</v>
      </c>
      <c r="AC3" t="s">
        <v>157</v>
      </c>
      <c r="AD3" t="s">
        <v>158</v>
      </c>
      <c r="AE3" t="s">
        <v>159</v>
      </c>
      <c r="AF3" t="s">
        <v>160</v>
      </c>
      <c r="AG3" t="s">
        <v>161</v>
      </c>
      <c r="AH3" t="s">
        <v>162</v>
      </c>
      <c r="AI3" t="s">
        <v>163</v>
      </c>
      <c r="AJ3" t="s">
        <v>164</v>
      </c>
      <c r="AK3" t="s">
        <v>165</v>
      </c>
      <c r="AL3" t="s">
        <v>166</v>
      </c>
      <c r="AM3" t="s">
        <v>167</v>
      </c>
      <c r="AN3" t="s">
        <v>168</v>
      </c>
      <c r="AO3" t="s">
        <v>169</v>
      </c>
      <c r="AP3" t="s">
        <v>170</v>
      </c>
    </row>
    <row r="4" spans="1:42" s="121" customFormat="1" x14ac:dyDescent="0.25">
      <c r="A4" s="136"/>
    </row>
    <row r="5" spans="1:42" ht="18.75" x14ac:dyDescent="0.3">
      <c r="B5" s="244" t="s">
        <v>268</v>
      </c>
      <c r="C5" s="244"/>
      <c r="D5" s="244"/>
      <c r="E5" s="244"/>
    </row>
    <row r="6" spans="1:42" x14ac:dyDescent="0.25">
      <c r="B6" s="252" t="s">
        <v>218</v>
      </c>
      <c r="C6" s="252"/>
      <c r="D6" s="252"/>
    </row>
    <row r="7" spans="1:42" x14ac:dyDescent="0.25">
      <c r="A7" s="138" cm="1">
        <f t="array" ref="A7:AP7">IF(DATE(YEAR(DATE3),1,1)&lt;=DATE3,INDEX(INDICES,MATCH(DATE(YEAR(DATE3),1,1),'INDICES PRIX'!A:A,0),),"")</f>
        <v>44562</v>
      </c>
      <c r="B7" s="55">
        <v>110.8</v>
      </c>
      <c r="C7" s="55">
        <v>122.6</v>
      </c>
      <c r="D7" s="55">
        <v>123.6</v>
      </c>
      <c r="E7" s="55">
        <v>156.1</v>
      </c>
      <c r="F7" s="55">
        <v>138.13999999999999</v>
      </c>
      <c r="G7" s="55">
        <v>106.8</v>
      </c>
      <c r="H7" s="55">
        <v>111.4</v>
      </c>
      <c r="I7" s="55">
        <v>153.9</v>
      </c>
      <c r="J7" s="55">
        <v>525.1</v>
      </c>
      <c r="K7" s="55">
        <v>133.34803453745306</v>
      </c>
      <c r="L7" s="55">
        <v>126.1</v>
      </c>
      <c r="M7" s="55">
        <v>152.6</v>
      </c>
      <c r="N7" s="55">
        <v>109.8</v>
      </c>
      <c r="O7" s="55">
        <v>193.7</v>
      </c>
      <c r="P7" s="55">
        <v>105.7</v>
      </c>
      <c r="Q7" s="55">
        <v>124.9</v>
      </c>
      <c r="R7" s="55">
        <v>123</v>
      </c>
      <c r="S7" s="55">
        <v>151.1</v>
      </c>
      <c r="T7" s="55">
        <v>192.2</v>
      </c>
      <c r="U7" s="55">
        <v>182.4</v>
      </c>
      <c r="V7" s="55">
        <v>114.2</v>
      </c>
      <c r="W7" s="55">
        <v>104.6</v>
      </c>
      <c r="X7" s="55">
        <v>110.6</v>
      </c>
      <c r="Y7" s="55">
        <v>111.2</v>
      </c>
      <c r="Z7" s="55">
        <v>114.51612903225806</v>
      </c>
      <c r="AA7" s="55">
        <v>113.8</v>
      </c>
      <c r="AB7" s="55">
        <v>154.80000000000001</v>
      </c>
      <c r="AC7" s="55">
        <v>131.4</v>
      </c>
      <c r="AD7" s="55">
        <v>109.5</v>
      </c>
      <c r="AE7" s="55">
        <v>131.6</v>
      </c>
      <c r="AF7" s="55">
        <v>110.3</v>
      </c>
      <c r="AG7" s="55">
        <v>111.4</v>
      </c>
      <c r="AH7" s="55">
        <v>98</v>
      </c>
      <c r="AI7" s="55">
        <v>102.9</v>
      </c>
      <c r="AJ7" s="55">
        <v>124.1</v>
      </c>
      <c r="AK7" s="55">
        <v>173.6</v>
      </c>
      <c r="AL7" s="55">
        <v>176.4</v>
      </c>
      <c r="AM7" s="55">
        <v>126.2</v>
      </c>
      <c r="AN7" s="55">
        <v>110.08</v>
      </c>
      <c r="AO7" s="55">
        <v>124.9</v>
      </c>
      <c r="AP7" s="8">
        <v>130.19999999999999</v>
      </c>
    </row>
    <row r="8" spans="1:42" x14ac:dyDescent="0.25">
      <c r="A8" s="140" cm="1">
        <f t="array" ref="A8:AP8">IF(A7&lt;DATE3,INDEX(INDICES,MATCH(EDATE(A7,1),'INDICES PRIX'!A:A,0),),"")</f>
        <v>44593</v>
      </c>
      <c r="B8" s="141">
        <v>111.3</v>
      </c>
      <c r="C8" s="141">
        <v>122.8</v>
      </c>
      <c r="D8" s="141">
        <v>124</v>
      </c>
      <c r="E8" s="141">
        <v>167.4</v>
      </c>
      <c r="F8" s="141">
        <v>145.84</v>
      </c>
      <c r="G8" s="141">
        <v>106.8</v>
      </c>
      <c r="H8" s="141">
        <v>111.4</v>
      </c>
      <c r="I8" s="141">
        <v>159</v>
      </c>
      <c r="J8" s="141">
        <v>410.7</v>
      </c>
      <c r="K8" s="141">
        <v>144.33923121562654</v>
      </c>
      <c r="L8" s="141">
        <v>127.4</v>
      </c>
      <c r="M8" s="141">
        <v>152.5</v>
      </c>
      <c r="N8" s="141">
        <v>109.6</v>
      </c>
      <c r="O8" s="141">
        <v>196.9</v>
      </c>
      <c r="P8" s="141">
        <v>105.7</v>
      </c>
      <c r="Q8" s="141">
        <v>127.6</v>
      </c>
      <c r="R8" s="141">
        <v>122</v>
      </c>
      <c r="S8" s="141">
        <v>155</v>
      </c>
      <c r="T8" s="141">
        <v>199</v>
      </c>
      <c r="U8" s="141">
        <v>198</v>
      </c>
      <c r="V8" s="141">
        <v>118.2</v>
      </c>
      <c r="W8" s="141">
        <v>105.1</v>
      </c>
      <c r="X8" s="141">
        <v>109.4</v>
      </c>
      <c r="Y8" s="141">
        <v>116</v>
      </c>
      <c r="Z8" s="141">
        <v>114.21370967741936</v>
      </c>
      <c r="AA8" s="141">
        <v>113.9</v>
      </c>
      <c r="AB8" s="141">
        <v>156.80000000000001</v>
      </c>
      <c r="AC8" s="141">
        <v>132.5</v>
      </c>
      <c r="AD8" s="141">
        <v>112.5</v>
      </c>
      <c r="AE8" s="141">
        <v>134.4</v>
      </c>
      <c r="AF8" s="141">
        <v>112.1</v>
      </c>
      <c r="AG8" s="141">
        <v>113</v>
      </c>
      <c r="AH8" s="141">
        <v>99</v>
      </c>
      <c r="AI8" s="141">
        <v>102.6</v>
      </c>
      <c r="AJ8" s="141">
        <v>138.5</v>
      </c>
      <c r="AK8" s="141">
        <v>174.5</v>
      </c>
      <c r="AL8" s="141">
        <v>175.6</v>
      </c>
      <c r="AM8" s="141">
        <v>127.1</v>
      </c>
      <c r="AN8" s="141">
        <v>110.46</v>
      </c>
      <c r="AO8" s="141">
        <v>126.3</v>
      </c>
      <c r="AP8" s="142">
        <v>133</v>
      </c>
    </row>
    <row r="9" spans="1:42" x14ac:dyDescent="0.25">
      <c r="A9" s="140" cm="1">
        <f t="array" ref="A9:AP9">IF(A8&lt;DATE3,INDEX(INDICES,MATCH(EDATE(A8,1),'INDICES PRIX'!A:A,0),),"")</f>
        <v>44621</v>
      </c>
      <c r="B9" s="141">
        <v>111.1</v>
      </c>
      <c r="C9" s="141">
        <v>123</v>
      </c>
      <c r="D9" s="141">
        <v>124.5</v>
      </c>
      <c r="E9" s="141">
        <v>224.4</v>
      </c>
      <c r="F9" s="141">
        <v>171.16</v>
      </c>
      <c r="G9" s="141">
        <v>106.8</v>
      </c>
      <c r="H9" s="141">
        <v>111.4</v>
      </c>
      <c r="I9" s="141">
        <v>173</v>
      </c>
      <c r="J9" s="141">
        <v>466.9</v>
      </c>
      <c r="K9" s="141">
        <v>191.7609265609718</v>
      </c>
      <c r="L9" s="141">
        <v>127.2</v>
      </c>
      <c r="M9" s="141">
        <v>152.5</v>
      </c>
      <c r="N9" s="141">
        <v>109.3</v>
      </c>
      <c r="O9" s="141">
        <v>213.4</v>
      </c>
      <c r="P9" s="141">
        <v>106.1</v>
      </c>
      <c r="Q9" s="141">
        <v>129.5</v>
      </c>
      <c r="R9" s="141">
        <v>121.8</v>
      </c>
      <c r="S9" s="141">
        <v>167.8</v>
      </c>
      <c r="T9" s="141">
        <v>208.8</v>
      </c>
      <c r="U9" s="141">
        <v>224.3</v>
      </c>
      <c r="V9" s="141">
        <v>117.3</v>
      </c>
      <c r="W9" s="141">
        <v>106.4</v>
      </c>
      <c r="X9" s="141">
        <v>110.8</v>
      </c>
      <c r="Y9" s="141">
        <v>118.7</v>
      </c>
      <c r="Z9" s="141">
        <v>113.10483870967742</v>
      </c>
      <c r="AA9" s="141">
        <v>115.4</v>
      </c>
      <c r="AB9" s="141">
        <v>160</v>
      </c>
      <c r="AC9" s="141">
        <v>135.6</v>
      </c>
      <c r="AD9" s="141">
        <v>112.4</v>
      </c>
      <c r="AE9" s="141">
        <v>134.6</v>
      </c>
      <c r="AF9" s="141">
        <v>112.5</v>
      </c>
      <c r="AG9" s="141">
        <v>113.3</v>
      </c>
      <c r="AH9" s="141">
        <v>99.2</v>
      </c>
      <c r="AI9" s="141">
        <v>102.9</v>
      </c>
      <c r="AJ9" s="141">
        <v>126.4</v>
      </c>
      <c r="AK9" s="141">
        <v>180</v>
      </c>
      <c r="AL9" s="141">
        <v>178.1</v>
      </c>
      <c r="AM9" s="141">
        <v>129.6</v>
      </c>
      <c r="AN9" s="141">
        <v>111.45</v>
      </c>
      <c r="AO9" s="141">
        <v>126.9</v>
      </c>
      <c r="AP9" s="142">
        <v>142</v>
      </c>
    </row>
    <row r="10" spans="1:42" x14ac:dyDescent="0.25">
      <c r="A10" s="140" cm="1">
        <f t="array" ref="A10:AP10">IF(A9&lt;DATE3,INDEX(INDICES,MATCH(EDATE(A9,1),'INDICES PRIX'!A:A,0),),"")</f>
        <v>44652</v>
      </c>
      <c r="B10" s="141">
        <v>113.4</v>
      </c>
      <c r="C10" s="141">
        <v>123.2</v>
      </c>
      <c r="D10" s="141">
        <v>124.8</v>
      </c>
      <c r="E10" s="141">
        <v>188.1</v>
      </c>
      <c r="F10" s="141">
        <v>158.51</v>
      </c>
      <c r="G10" s="141">
        <v>109.9</v>
      </c>
      <c r="H10" s="141">
        <v>115.1</v>
      </c>
      <c r="I10" s="141">
        <v>159.19999999999999</v>
      </c>
      <c r="J10" s="141">
        <v>582.29999999999995</v>
      </c>
      <c r="K10" s="141">
        <v>166.232985889085</v>
      </c>
      <c r="L10" s="141">
        <v>130.19999999999999</v>
      </c>
      <c r="M10" s="141">
        <v>160.30000000000001</v>
      </c>
      <c r="N10" s="141">
        <v>111.3</v>
      </c>
      <c r="O10" s="141">
        <v>249.2</v>
      </c>
      <c r="P10" s="141">
        <v>107.5</v>
      </c>
      <c r="Q10" s="141">
        <v>133.69999999999999</v>
      </c>
      <c r="R10" s="141">
        <v>123.5</v>
      </c>
      <c r="S10" s="141">
        <v>167.9</v>
      </c>
      <c r="T10" s="141">
        <v>244.4</v>
      </c>
      <c r="U10" s="141">
        <v>256</v>
      </c>
      <c r="V10" s="141">
        <v>118.1</v>
      </c>
      <c r="W10" s="141">
        <v>106.9</v>
      </c>
      <c r="X10" s="141">
        <v>115.6</v>
      </c>
      <c r="Y10" s="141">
        <v>123.6</v>
      </c>
      <c r="Z10" s="141">
        <v>112.5</v>
      </c>
      <c r="AA10" s="141">
        <v>116.8</v>
      </c>
      <c r="AB10" s="141">
        <v>171.9</v>
      </c>
      <c r="AC10" s="141">
        <v>138.69999999999999</v>
      </c>
      <c r="AD10" s="141">
        <v>112.5</v>
      </c>
      <c r="AE10" s="141">
        <v>139.1</v>
      </c>
      <c r="AF10" s="141">
        <v>113.7</v>
      </c>
      <c r="AG10" s="141">
        <v>114.8</v>
      </c>
      <c r="AH10" s="141">
        <v>99.1</v>
      </c>
      <c r="AI10" s="141">
        <v>103.5</v>
      </c>
      <c r="AJ10" s="141">
        <v>125</v>
      </c>
      <c r="AK10" s="141">
        <v>194.1</v>
      </c>
      <c r="AL10" s="141">
        <v>181.2</v>
      </c>
      <c r="AM10" s="141">
        <v>131.6</v>
      </c>
      <c r="AN10" s="141">
        <v>110.96</v>
      </c>
      <c r="AO10" s="141">
        <v>126.7</v>
      </c>
      <c r="AP10" s="142">
        <v>144.5</v>
      </c>
    </row>
    <row r="11" spans="1:42" x14ac:dyDescent="0.25">
      <c r="A11" s="140" cm="1">
        <f t="array" ref="A11:AP11">IF(A10&lt;DATE3,INDEX(INDICES,MATCH(EDATE(A10,1),'INDICES PRIX'!A:A,0),),"")</f>
        <v>44682</v>
      </c>
      <c r="B11" s="141">
        <v>113.2</v>
      </c>
      <c r="C11" s="141">
        <v>123.5</v>
      </c>
      <c r="D11" s="141">
        <v>125.2</v>
      </c>
      <c r="E11" s="141">
        <v>188.8</v>
      </c>
      <c r="F11" s="141">
        <v>161.19</v>
      </c>
      <c r="G11" s="141">
        <v>110.4</v>
      </c>
      <c r="H11" s="141">
        <v>115.1</v>
      </c>
      <c r="I11" s="141">
        <v>137.69999999999999</v>
      </c>
      <c r="J11" s="141">
        <v>463.2</v>
      </c>
      <c r="K11" s="141">
        <v>169.10487921467225</v>
      </c>
      <c r="L11" s="141">
        <v>135.69999999999999</v>
      </c>
      <c r="M11" s="141">
        <v>160.5</v>
      </c>
      <c r="N11" s="141">
        <v>112.6</v>
      </c>
      <c r="O11" s="141">
        <v>270.7</v>
      </c>
      <c r="P11" s="141">
        <v>108.3</v>
      </c>
      <c r="Q11" s="141">
        <v>138.19999999999999</v>
      </c>
      <c r="R11" s="141">
        <v>126.5</v>
      </c>
      <c r="S11" s="141">
        <v>171.6</v>
      </c>
      <c r="T11" s="141">
        <v>265.3</v>
      </c>
      <c r="U11" s="141">
        <v>248.1</v>
      </c>
      <c r="V11" s="141">
        <v>118.9</v>
      </c>
      <c r="W11" s="141">
        <v>109.1</v>
      </c>
      <c r="X11" s="141">
        <v>121</v>
      </c>
      <c r="Y11" s="141">
        <v>127.6</v>
      </c>
      <c r="Z11" s="141">
        <v>117.6</v>
      </c>
      <c r="AA11" s="141">
        <v>116.9</v>
      </c>
      <c r="AB11" s="141">
        <v>178.4</v>
      </c>
      <c r="AC11" s="141">
        <v>139.6</v>
      </c>
      <c r="AD11" s="141">
        <v>114.2</v>
      </c>
      <c r="AE11" s="141">
        <v>141.6</v>
      </c>
      <c r="AF11" s="141">
        <v>114.7</v>
      </c>
      <c r="AG11" s="141">
        <v>115</v>
      </c>
      <c r="AH11" s="141">
        <v>100.9</v>
      </c>
      <c r="AI11" s="141">
        <v>103.8</v>
      </c>
      <c r="AJ11" s="141">
        <v>132.5</v>
      </c>
      <c r="AK11" s="141">
        <v>197.9</v>
      </c>
      <c r="AL11" s="141">
        <v>188.4</v>
      </c>
      <c r="AM11" s="141">
        <v>134.19999999999999</v>
      </c>
      <c r="AN11" s="141">
        <v>112.72</v>
      </c>
      <c r="AO11" s="141">
        <v>126.9</v>
      </c>
      <c r="AP11" s="142">
        <v>141.69999999999999</v>
      </c>
    </row>
    <row r="12" spans="1:42" x14ac:dyDescent="0.25">
      <c r="A12" s="140" cm="1">
        <f t="array" ref="A12:AP12">IF(A11&lt;DATE3,INDEX(INDICES,MATCH(EDATE(A11,1),'INDICES PRIX'!A:A,0),),"")</f>
        <v>44713</v>
      </c>
      <c r="B12" s="141">
        <v>113.3</v>
      </c>
      <c r="C12" s="141">
        <v>123.7</v>
      </c>
      <c r="D12" s="141">
        <v>125.5</v>
      </c>
      <c r="E12" s="141">
        <v>220</v>
      </c>
      <c r="F12" s="141">
        <v>177.37</v>
      </c>
      <c r="G12" s="141">
        <v>111.8</v>
      </c>
      <c r="H12" s="141">
        <v>115.1</v>
      </c>
      <c r="I12" s="141">
        <v>119.7</v>
      </c>
      <c r="J12" s="141">
        <v>470.1</v>
      </c>
      <c r="K12" s="141">
        <v>198.40882777760893</v>
      </c>
      <c r="L12" s="141">
        <v>137.6</v>
      </c>
      <c r="M12" s="141">
        <v>160.6</v>
      </c>
      <c r="N12" s="141">
        <v>112</v>
      </c>
      <c r="O12" s="141">
        <v>256.3</v>
      </c>
      <c r="P12" s="141">
        <v>109.6</v>
      </c>
      <c r="Q12" s="141">
        <v>140.69999999999999</v>
      </c>
      <c r="R12" s="141">
        <v>132.4</v>
      </c>
      <c r="S12" s="141">
        <v>175.7</v>
      </c>
      <c r="T12" s="141">
        <v>253.5</v>
      </c>
      <c r="U12" s="141">
        <v>260.7</v>
      </c>
      <c r="V12" s="141">
        <v>123.4</v>
      </c>
      <c r="W12" s="141">
        <v>110.6</v>
      </c>
      <c r="X12" s="141">
        <v>123.9</v>
      </c>
      <c r="Y12" s="141">
        <v>128.69999999999999</v>
      </c>
      <c r="Z12" s="141">
        <v>121.5</v>
      </c>
      <c r="AA12" s="141">
        <v>118.4</v>
      </c>
      <c r="AB12" s="141">
        <v>175.9</v>
      </c>
      <c r="AC12" s="141">
        <v>147.5</v>
      </c>
      <c r="AD12" s="141">
        <v>117.1</v>
      </c>
      <c r="AE12" s="141">
        <v>143.1</v>
      </c>
      <c r="AF12" s="141">
        <v>115.5</v>
      </c>
      <c r="AG12" s="141">
        <v>115.6</v>
      </c>
      <c r="AH12" s="141">
        <v>101.9</v>
      </c>
      <c r="AI12" s="141">
        <v>103.6</v>
      </c>
      <c r="AJ12" s="141">
        <v>138.4</v>
      </c>
      <c r="AK12" s="141">
        <v>197.6</v>
      </c>
      <c r="AL12" s="141">
        <v>184.8</v>
      </c>
      <c r="AM12" s="141">
        <v>133.6</v>
      </c>
      <c r="AN12" s="141">
        <v>114.25</v>
      </c>
      <c r="AO12" s="141">
        <v>126.8</v>
      </c>
      <c r="AP12" s="142">
        <v>136.69999999999999</v>
      </c>
    </row>
    <row r="13" spans="1:42" x14ac:dyDescent="0.25">
      <c r="A13" s="140" cm="1">
        <f t="array" ref="A13:AP13">IF(A12&lt;DATE3,INDEX(INDICES,MATCH(EDATE(A12,1),'INDICES PRIX'!A:A,0),),"")</f>
        <v>44743</v>
      </c>
      <c r="B13" s="141">
        <v>116.6</v>
      </c>
      <c r="C13" s="141">
        <v>123.7</v>
      </c>
      <c r="D13" s="141">
        <v>125.5</v>
      </c>
      <c r="E13" s="141">
        <v>198.7</v>
      </c>
      <c r="F13" s="141">
        <v>169.9</v>
      </c>
      <c r="G13" s="141">
        <v>115.2</v>
      </c>
      <c r="H13" s="141">
        <v>117.1</v>
      </c>
      <c r="I13" s="141">
        <v>121.5</v>
      </c>
      <c r="J13" s="141">
        <v>555.29999999999995</v>
      </c>
      <c r="K13" s="141">
        <v>182.79069185265595</v>
      </c>
      <c r="L13" s="141">
        <v>135.9</v>
      </c>
      <c r="M13" s="141">
        <v>160.6</v>
      </c>
      <c r="N13" s="141">
        <v>113.3</v>
      </c>
      <c r="O13" s="141">
        <v>246.9</v>
      </c>
      <c r="P13" s="141">
        <v>110.7</v>
      </c>
      <c r="Q13" s="141">
        <v>140.4</v>
      </c>
      <c r="R13" s="141">
        <v>133.6</v>
      </c>
      <c r="S13" s="141">
        <v>172</v>
      </c>
      <c r="T13" s="141">
        <v>252.4</v>
      </c>
      <c r="U13" s="141">
        <v>243.5</v>
      </c>
      <c r="V13" s="141">
        <v>125.3</v>
      </c>
      <c r="W13" s="141">
        <v>110.4</v>
      </c>
      <c r="X13" s="141">
        <v>126.1</v>
      </c>
      <c r="Y13" s="141">
        <v>132.5</v>
      </c>
      <c r="Z13" s="141">
        <v>124</v>
      </c>
      <c r="AA13" s="141">
        <v>118.4</v>
      </c>
      <c r="AB13" s="141">
        <v>168.4</v>
      </c>
      <c r="AC13" s="141">
        <v>155</v>
      </c>
      <c r="AD13" s="141">
        <v>121.2</v>
      </c>
      <c r="AE13" s="141">
        <v>143.1</v>
      </c>
      <c r="AF13" s="141">
        <v>116.3</v>
      </c>
      <c r="AG13" s="141">
        <v>116.8</v>
      </c>
      <c r="AH13" s="141">
        <v>101.6</v>
      </c>
      <c r="AI13" s="141">
        <v>104.5</v>
      </c>
      <c r="AJ13" s="141">
        <v>143.6</v>
      </c>
      <c r="AK13" s="141">
        <v>190.4</v>
      </c>
      <c r="AL13" s="141">
        <v>195.8</v>
      </c>
      <c r="AM13" s="141">
        <v>134.30000000000001</v>
      </c>
      <c r="AN13" s="141">
        <v>118.88</v>
      </c>
      <c r="AO13" s="141">
        <v>127.5</v>
      </c>
      <c r="AP13" s="142">
        <v>132.1</v>
      </c>
    </row>
    <row r="14" spans="1:42" x14ac:dyDescent="0.25">
      <c r="A14" s="140" cm="1">
        <f t="array" ref="A14:AP14">IF(A13&lt;DATE3,INDEX(INDICES,MATCH(EDATE(A13,1),'INDICES PRIX'!A:A,0),),"")</f>
        <v>44774</v>
      </c>
      <c r="B14" s="141">
        <v>116.6</v>
      </c>
      <c r="C14" s="141">
        <v>123.7</v>
      </c>
      <c r="D14" s="141">
        <v>125.5</v>
      </c>
      <c r="E14" s="141">
        <v>189.1</v>
      </c>
      <c r="F14" s="141">
        <v>158.9</v>
      </c>
      <c r="G14" s="141">
        <v>115.3</v>
      </c>
      <c r="H14" s="141">
        <v>117.1</v>
      </c>
      <c r="I14" s="141">
        <v>122.9</v>
      </c>
      <c r="J14" s="141">
        <v>820.3</v>
      </c>
      <c r="K14" s="141">
        <v>165.98479757699718</v>
      </c>
      <c r="L14" s="141">
        <v>136.9</v>
      </c>
      <c r="M14" s="141">
        <v>160.6</v>
      </c>
      <c r="N14" s="141">
        <v>116.6</v>
      </c>
      <c r="O14" s="141">
        <v>241.2</v>
      </c>
      <c r="P14" s="141">
        <v>111.1</v>
      </c>
      <c r="Q14" s="141">
        <v>139.30000000000001</v>
      </c>
      <c r="R14" s="141">
        <v>133.4</v>
      </c>
      <c r="S14" s="141">
        <v>172.4</v>
      </c>
      <c r="T14" s="141">
        <v>252.7</v>
      </c>
      <c r="U14" s="141">
        <v>215.4</v>
      </c>
      <c r="V14" s="141">
        <v>123.3</v>
      </c>
      <c r="W14" s="141">
        <v>111.7</v>
      </c>
      <c r="X14" s="141">
        <v>125.8</v>
      </c>
      <c r="Y14" s="141">
        <v>133.9</v>
      </c>
      <c r="Z14" s="141">
        <v>124.5</v>
      </c>
      <c r="AA14" s="141">
        <v>117.8</v>
      </c>
      <c r="AB14" s="141">
        <v>170</v>
      </c>
      <c r="AC14" s="141">
        <v>157.4</v>
      </c>
      <c r="AD14" s="141">
        <v>122.7</v>
      </c>
      <c r="AE14" s="141">
        <v>143.1</v>
      </c>
      <c r="AF14" s="141">
        <v>118</v>
      </c>
      <c r="AG14" s="141">
        <v>118.7</v>
      </c>
      <c r="AH14" s="141">
        <v>102</v>
      </c>
      <c r="AI14" s="141">
        <v>104.6</v>
      </c>
      <c r="AJ14" s="141">
        <v>146.80000000000001</v>
      </c>
      <c r="AK14" s="141">
        <v>185.7</v>
      </c>
      <c r="AL14" s="141">
        <v>189.2</v>
      </c>
      <c r="AM14" s="141">
        <v>134.9</v>
      </c>
      <c r="AN14" s="141">
        <v>120.65</v>
      </c>
      <c r="AO14" s="141">
        <v>127.5</v>
      </c>
      <c r="AP14" s="142">
        <v>127.9</v>
      </c>
    </row>
    <row r="15" spans="1:42" x14ac:dyDescent="0.25">
      <c r="A15" s="140" cm="1">
        <f t="array" ref="A15:AP15">IF(A14&lt;DATE3,INDEX(INDICES,MATCH(EDATE(A14,1),'INDICES PRIX'!A:A,0),),"")</f>
        <v>44805</v>
      </c>
      <c r="B15" s="141">
        <v>117.1</v>
      </c>
      <c r="C15" s="141">
        <v>123.7</v>
      </c>
      <c r="D15" s="141">
        <v>125.5</v>
      </c>
      <c r="E15" s="141">
        <v>175</v>
      </c>
      <c r="F15" s="141">
        <v>148.12</v>
      </c>
      <c r="G15" s="141">
        <v>112.8</v>
      </c>
      <c r="H15" s="141">
        <v>117.1</v>
      </c>
      <c r="I15" s="141">
        <v>119.8</v>
      </c>
      <c r="J15" s="141">
        <v>972.8</v>
      </c>
      <c r="K15" s="141">
        <v>145.70426693210933</v>
      </c>
      <c r="L15" s="141">
        <v>135.69999999999999</v>
      </c>
      <c r="M15" s="141">
        <v>160.6</v>
      </c>
      <c r="N15" s="141">
        <v>114.6</v>
      </c>
      <c r="O15" s="141">
        <v>229.2</v>
      </c>
      <c r="P15" s="141">
        <v>110.9</v>
      </c>
      <c r="Q15" s="141">
        <v>136.69999999999999</v>
      </c>
      <c r="R15" s="141">
        <v>133.9</v>
      </c>
      <c r="S15" s="141">
        <v>166.9</v>
      </c>
      <c r="T15" s="141">
        <v>241.5</v>
      </c>
      <c r="U15" s="141">
        <v>212.8</v>
      </c>
      <c r="V15" s="141">
        <v>119.2</v>
      </c>
      <c r="W15" s="141">
        <v>111.8</v>
      </c>
      <c r="X15" s="141">
        <v>127</v>
      </c>
      <c r="Y15" s="141">
        <v>133.19999999999999</v>
      </c>
      <c r="Z15" s="141">
        <v>125.6</v>
      </c>
      <c r="AA15" s="141">
        <v>118.4</v>
      </c>
      <c r="AB15" s="141">
        <v>164.8</v>
      </c>
      <c r="AC15" s="141">
        <v>151.19999999999999</v>
      </c>
      <c r="AD15" s="141">
        <v>120.3</v>
      </c>
      <c r="AE15" s="141">
        <v>143.1</v>
      </c>
      <c r="AF15" s="141">
        <v>117</v>
      </c>
      <c r="AG15" s="141">
        <v>116.8</v>
      </c>
      <c r="AH15" s="141">
        <v>103</v>
      </c>
      <c r="AI15" s="141">
        <v>104.8</v>
      </c>
      <c r="AJ15" s="141">
        <v>152.80000000000001</v>
      </c>
      <c r="AK15" s="141">
        <v>183.8</v>
      </c>
      <c r="AL15" s="141">
        <v>168.9</v>
      </c>
      <c r="AM15" s="141">
        <v>135.19999999999999</v>
      </c>
      <c r="AN15" s="141">
        <v>114.92</v>
      </c>
      <c r="AO15" s="141">
        <v>127.5</v>
      </c>
      <c r="AP15" s="142">
        <v>130.30000000000001</v>
      </c>
    </row>
    <row r="16" spans="1:42" x14ac:dyDescent="0.25">
      <c r="A16" s="140" t="str" cm="1">
        <f t="array" ref="A16">IF(A15&lt;DATE3,INDEX(INDICES,MATCH(EDATE(A15,1),'INDICES PRIX'!A:A,0),),"")</f>
        <v/>
      </c>
      <c r="B16" s="141"/>
      <c r="C16" s="141"/>
      <c r="D16" s="141"/>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41"/>
      <c r="AM16" s="141"/>
      <c r="AN16" s="141"/>
      <c r="AO16" s="141"/>
      <c r="AP16" s="142"/>
    </row>
    <row r="17" spans="1:42" x14ac:dyDescent="0.25">
      <c r="A17" s="140" t="str" cm="1">
        <f t="array" ref="A17">IF(A16&lt;DATE3,INDEX(INDICES,MATCH(EDATE(A16,1),'INDICES PRIX'!A:A,0),),"")</f>
        <v/>
      </c>
      <c r="B17" s="141"/>
      <c r="C17" s="141"/>
      <c r="D17" s="141"/>
      <c r="E17" s="141"/>
      <c r="F17" s="141"/>
      <c r="G17" s="141"/>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c r="AK17" s="141"/>
      <c r="AL17" s="141"/>
      <c r="AM17" s="141"/>
      <c r="AN17" s="141"/>
      <c r="AO17" s="141"/>
      <c r="AP17" s="142"/>
    </row>
    <row r="18" spans="1:42" x14ac:dyDescent="0.25">
      <c r="A18" s="140" t="str" cm="1">
        <f t="array" ref="A18">IF(A17&lt;DATE3,INDEX(INDICES,MATCH(EDATE(A17,1),'INDICES PRIX'!A:A,0),),"")</f>
        <v/>
      </c>
      <c r="B18" s="141"/>
      <c r="C18" s="141"/>
      <c r="D18" s="141"/>
      <c r="E18" s="141"/>
      <c r="F18" s="141"/>
      <c r="G18" s="141"/>
      <c r="H18" s="141"/>
      <c r="I18" s="141"/>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1"/>
      <c r="AK18" s="141"/>
      <c r="AL18" s="141"/>
      <c r="AM18" s="141"/>
      <c r="AN18" s="141"/>
      <c r="AO18" s="141"/>
      <c r="AP18" s="142"/>
    </row>
    <row r="19" spans="1:42" x14ac:dyDescent="0.25">
      <c r="A19" s="143" t="str" cm="1">
        <f t="array" ref="A19">IF(A18&lt;DATE3,INDEX(INDICES,MATCH(EDATE(A18,1),'INDICES PRIX'!A:A,0),),"")</f>
        <v/>
      </c>
      <c r="B19" s="144"/>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5"/>
    </row>
    <row r="20" spans="1:42" x14ac:dyDescent="0.25">
      <c r="A20" s="136" t="s">
        <v>219</v>
      </c>
      <c r="B20">
        <f>SUM(B7:B19)</f>
        <v>1023.4000000000001</v>
      </c>
      <c r="C20" s="121">
        <f t="shared" ref="C20:AP20" si="0">SUM(C7:C19)</f>
        <v>1109.9000000000001</v>
      </c>
      <c r="D20" s="121">
        <f t="shared" si="0"/>
        <v>1124.0999999999999</v>
      </c>
      <c r="E20" s="121">
        <f t="shared" si="0"/>
        <v>1707.6</v>
      </c>
      <c r="F20" s="121">
        <f t="shared" si="0"/>
        <v>1429.13</v>
      </c>
      <c r="G20" s="121">
        <f t="shared" si="0"/>
        <v>995.79999999999984</v>
      </c>
      <c r="H20" s="121">
        <f t="shared" si="0"/>
        <v>1030.8000000000002</v>
      </c>
      <c r="I20" s="121">
        <f t="shared" si="0"/>
        <v>1266.7</v>
      </c>
      <c r="J20" s="121">
        <f t="shared" si="0"/>
        <v>5266.7</v>
      </c>
      <c r="K20" s="121">
        <f t="shared" si="0"/>
        <v>1497.6746415571799</v>
      </c>
      <c r="L20" s="121">
        <f t="shared" si="0"/>
        <v>1192.7</v>
      </c>
      <c r="M20" s="121">
        <f t="shared" si="0"/>
        <v>1420.8</v>
      </c>
      <c r="N20" s="121">
        <f t="shared" si="0"/>
        <v>1009.1</v>
      </c>
      <c r="O20" s="121">
        <f t="shared" si="0"/>
        <v>2097.5</v>
      </c>
      <c r="P20" s="121">
        <f t="shared" si="0"/>
        <v>975.6</v>
      </c>
      <c r="Q20" s="121">
        <f t="shared" si="0"/>
        <v>1211.0000000000002</v>
      </c>
      <c r="R20" s="121">
        <f t="shared" si="0"/>
        <v>1150.0999999999999</v>
      </c>
      <c r="S20" s="121">
        <f t="shared" si="0"/>
        <v>1500.4000000000003</v>
      </c>
      <c r="T20" s="121">
        <f t="shared" si="0"/>
        <v>2109.8000000000002</v>
      </c>
      <c r="U20" s="121">
        <f t="shared" si="0"/>
        <v>2041.2</v>
      </c>
      <c r="V20" s="121">
        <f t="shared" si="0"/>
        <v>1077.8999999999999</v>
      </c>
      <c r="W20" s="121">
        <f t="shared" si="0"/>
        <v>976.6</v>
      </c>
      <c r="X20" s="121">
        <f t="shared" si="0"/>
        <v>1070.1999999999998</v>
      </c>
      <c r="Y20" s="121">
        <f t="shared" si="0"/>
        <v>1125.3999999999999</v>
      </c>
      <c r="Z20" s="121">
        <f t="shared" si="0"/>
        <v>1067.5346774193549</v>
      </c>
      <c r="AA20" s="121">
        <f t="shared" si="0"/>
        <v>1049.8</v>
      </c>
      <c r="AB20" s="121">
        <f t="shared" si="0"/>
        <v>1501</v>
      </c>
      <c r="AC20" s="121">
        <f t="shared" si="0"/>
        <v>1288.9000000000001</v>
      </c>
      <c r="AD20" s="121">
        <f t="shared" si="0"/>
        <v>1042.4000000000001</v>
      </c>
      <c r="AE20" s="121">
        <f t="shared" si="0"/>
        <v>1253.7</v>
      </c>
      <c r="AF20" s="121">
        <f t="shared" si="0"/>
        <v>1030.0999999999999</v>
      </c>
      <c r="AG20" s="121">
        <f t="shared" si="0"/>
        <v>1035.4000000000001</v>
      </c>
      <c r="AH20" s="121">
        <f t="shared" si="0"/>
        <v>904.69999999999993</v>
      </c>
      <c r="AI20" s="121">
        <f t="shared" si="0"/>
        <v>933.19999999999993</v>
      </c>
      <c r="AJ20" s="121">
        <f t="shared" si="0"/>
        <v>1228.0999999999999</v>
      </c>
      <c r="AK20" s="121">
        <f t="shared" si="0"/>
        <v>1677.6000000000001</v>
      </c>
      <c r="AL20" s="121">
        <f t="shared" si="0"/>
        <v>1638.4</v>
      </c>
      <c r="AM20" s="121">
        <f t="shared" si="0"/>
        <v>1186.7000000000003</v>
      </c>
      <c r="AN20" s="121">
        <f t="shared" si="0"/>
        <v>1024.3699999999999</v>
      </c>
      <c r="AO20" s="121">
        <f t="shared" si="0"/>
        <v>1141</v>
      </c>
      <c r="AP20" s="121">
        <f t="shared" si="0"/>
        <v>1218.4000000000001</v>
      </c>
    </row>
    <row r="22" spans="1:42" x14ac:dyDescent="0.25">
      <c r="B22" s="252" t="s">
        <v>214</v>
      </c>
      <c r="C22" s="252"/>
      <c r="D22" s="252"/>
    </row>
    <row r="23" spans="1:42" x14ac:dyDescent="0.25">
      <c r="A23" s="138" cm="1">
        <f t="array" ref="A23:AP23">IF(DATE(YEAR(EDATE(DATE3,-12)),1,1)&lt;DATE3,INDEX(INDICES,MATCH(DATE(YEAR(EDATE(DATE3,-12)),1,1),'INDICES PRIX'!A:A,0),),"")</f>
        <v>44197</v>
      </c>
      <c r="B23" s="55">
        <v>104.5</v>
      </c>
      <c r="C23" s="55">
        <v>123.4</v>
      </c>
      <c r="D23" s="55">
        <v>123.6</v>
      </c>
      <c r="E23" s="55">
        <v>110.08095283834412</v>
      </c>
      <c r="F23" s="55">
        <v>111.52</v>
      </c>
      <c r="G23" s="55">
        <v>103.3</v>
      </c>
      <c r="H23" s="55">
        <v>108.8</v>
      </c>
      <c r="I23" s="55">
        <v>133.30000000000001</v>
      </c>
      <c r="J23" s="55">
        <v>87.5</v>
      </c>
      <c r="K23" s="55">
        <v>87.475840517659549</v>
      </c>
      <c r="L23" s="55">
        <v>98.9</v>
      </c>
      <c r="M23" s="55">
        <v>114.6</v>
      </c>
      <c r="N23" s="55">
        <v>105.8</v>
      </c>
      <c r="O23" s="55">
        <v>130.80000000000001</v>
      </c>
      <c r="P23" s="55">
        <v>104.3</v>
      </c>
      <c r="Q23" s="55">
        <v>96.9</v>
      </c>
      <c r="R23" s="55">
        <v>105.7</v>
      </c>
      <c r="S23" s="55">
        <v>114.4</v>
      </c>
      <c r="T23" s="55">
        <v>123</v>
      </c>
      <c r="U23" s="55">
        <v>135.69999999999999</v>
      </c>
      <c r="V23" s="55">
        <v>107.4</v>
      </c>
      <c r="W23" s="55">
        <v>101.6</v>
      </c>
      <c r="X23" s="55">
        <v>94.4</v>
      </c>
      <c r="Y23" s="55">
        <v>102</v>
      </c>
      <c r="Z23" s="55">
        <v>104.33467741935483</v>
      </c>
      <c r="AA23" s="55">
        <v>107</v>
      </c>
      <c r="AB23" s="55">
        <v>101.4</v>
      </c>
      <c r="AC23" s="55">
        <v>108.3</v>
      </c>
      <c r="AD23" s="55">
        <v>103.6</v>
      </c>
      <c r="AE23" s="55">
        <v>99.2</v>
      </c>
      <c r="AF23" s="55">
        <v>104.5</v>
      </c>
      <c r="AG23" s="55">
        <v>105.3</v>
      </c>
      <c r="AH23" s="55">
        <v>98.5</v>
      </c>
      <c r="AI23" s="55">
        <v>105.1</v>
      </c>
      <c r="AJ23" s="55">
        <v>111.4</v>
      </c>
      <c r="AK23" s="55">
        <v>114.6</v>
      </c>
      <c r="AL23" s="55">
        <v>106.2</v>
      </c>
      <c r="AM23" s="55">
        <v>110.7</v>
      </c>
      <c r="AN23" s="55">
        <v>107.3</v>
      </c>
      <c r="AO23" s="55">
        <v>117.1</v>
      </c>
      <c r="AP23" s="8">
        <v>111.7</v>
      </c>
    </row>
    <row r="24" spans="1:42" x14ac:dyDescent="0.25">
      <c r="A24" s="140" cm="1">
        <f t="array" ref="A24:AP24">IF(A23&lt;EDATE(DATE3,-12),INDEX(INDICES,MATCH(EDATE(A23,1),'INDICES PRIX'!A:A,0),),"")</f>
        <v>44228</v>
      </c>
      <c r="B24" s="141">
        <v>104.5</v>
      </c>
      <c r="C24" s="141">
        <v>123.3</v>
      </c>
      <c r="D24" s="141">
        <v>123.7</v>
      </c>
      <c r="E24" s="141">
        <v>117.68414177312464</v>
      </c>
      <c r="F24" s="141">
        <v>115.5</v>
      </c>
      <c r="G24" s="141">
        <v>103.6</v>
      </c>
      <c r="H24" s="141">
        <v>108.8</v>
      </c>
      <c r="I24" s="141">
        <v>137.69999999999999</v>
      </c>
      <c r="J24" s="141">
        <v>96.1</v>
      </c>
      <c r="K24" s="141">
        <v>96.424912028356985</v>
      </c>
      <c r="L24" s="141">
        <v>100.5</v>
      </c>
      <c r="M24" s="141">
        <v>114.7</v>
      </c>
      <c r="N24" s="141">
        <v>105.9</v>
      </c>
      <c r="O24" s="141">
        <v>139.19999999999999</v>
      </c>
      <c r="P24" s="141">
        <v>104</v>
      </c>
      <c r="Q24" s="141">
        <v>98.4</v>
      </c>
      <c r="R24" s="141">
        <v>105.7</v>
      </c>
      <c r="S24" s="141">
        <v>117.3</v>
      </c>
      <c r="T24" s="141">
        <v>133.69999999999999</v>
      </c>
      <c r="U24" s="141">
        <v>142.80000000000001</v>
      </c>
      <c r="V24" s="141">
        <v>106.9</v>
      </c>
      <c r="W24" s="141">
        <v>101.2</v>
      </c>
      <c r="X24" s="141">
        <v>95.3</v>
      </c>
      <c r="Y24" s="141">
        <v>102.7</v>
      </c>
      <c r="Z24" s="141">
        <v>106.55241935483872</v>
      </c>
      <c r="AA24" s="141">
        <v>106.9</v>
      </c>
      <c r="AB24" s="141">
        <v>107.2</v>
      </c>
      <c r="AC24" s="141">
        <v>110.8</v>
      </c>
      <c r="AD24" s="141">
        <v>103.8</v>
      </c>
      <c r="AE24" s="141">
        <v>101</v>
      </c>
      <c r="AF24" s="141">
        <v>104.8</v>
      </c>
      <c r="AG24" s="141">
        <v>105.5</v>
      </c>
      <c r="AH24" s="141">
        <v>98.3</v>
      </c>
      <c r="AI24" s="141">
        <v>105.3</v>
      </c>
      <c r="AJ24" s="141">
        <v>108.6</v>
      </c>
      <c r="AK24" s="141">
        <v>123.1</v>
      </c>
      <c r="AL24" s="141">
        <v>113.7</v>
      </c>
      <c r="AM24" s="141">
        <v>111.3</v>
      </c>
      <c r="AN24" s="141">
        <v>107.01</v>
      </c>
      <c r="AO24" s="141">
        <v>117.5</v>
      </c>
      <c r="AP24" s="142">
        <v>111.9</v>
      </c>
    </row>
    <row r="25" spans="1:42" x14ac:dyDescent="0.25">
      <c r="A25" s="140" cm="1">
        <f t="array" ref="A25:AP25">IF(A24&lt;EDATE(DATE3,-12),INDEX(INDICES,MATCH(EDATE(A24,1),'INDICES PRIX'!A:A,0),),"")</f>
        <v>44256</v>
      </c>
      <c r="B25" s="141">
        <v>107.6</v>
      </c>
      <c r="C25" s="141">
        <v>123.3</v>
      </c>
      <c r="D25" s="141">
        <v>123.9</v>
      </c>
      <c r="E25" s="141">
        <v>120.96232830659883</v>
      </c>
      <c r="F25" s="141">
        <v>118.85</v>
      </c>
      <c r="G25" s="141">
        <v>103.4</v>
      </c>
      <c r="H25" s="141">
        <v>109.5</v>
      </c>
      <c r="I25" s="141">
        <v>136.1</v>
      </c>
      <c r="J25" s="141">
        <v>86.2</v>
      </c>
      <c r="K25" s="141">
        <v>99.707901538530166</v>
      </c>
      <c r="L25" s="141">
        <v>101.2</v>
      </c>
      <c r="M25" s="141">
        <v>114.7</v>
      </c>
      <c r="N25" s="141">
        <v>106.2</v>
      </c>
      <c r="O25" s="141">
        <v>144.6</v>
      </c>
      <c r="P25" s="141">
        <v>104.8</v>
      </c>
      <c r="Q25" s="141">
        <v>101.6</v>
      </c>
      <c r="R25" s="141">
        <v>104.5</v>
      </c>
      <c r="S25" s="141">
        <v>118.6</v>
      </c>
      <c r="T25" s="141">
        <v>140.6</v>
      </c>
      <c r="U25" s="141">
        <v>152.1</v>
      </c>
      <c r="V25" s="141">
        <v>109</v>
      </c>
      <c r="W25" s="141">
        <v>101.2</v>
      </c>
      <c r="X25" s="141">
        <v>94.4</v>
      </c>
      <c r="Y25" s="141">
        <v>103.6</v>
      </c>
      <c r="Z25" s="141">
        <v>107.15725806451613</v>
      </c>
      <c r="AA25" s="141">
        <v>107.2</v>
      </c>
      <c r="AB25" s="141">
        <v>120.4</v>
      </c>
      <c r="AC25" s="141">
        <v>110.8</v>
      </c>
      <c r="AD25" s="141">
        <v>105.2</v>
      </c>
      <c r="AE25" s="141">
        <v>104.2</v>
      </c>
      <c r="AF25" s="141">
        <v>104.7</v>
      </c>
      <c r="AG25" s="141">
        <v>105.3</v>
      </c>
      <c r="AH25" s="141">
        <v>97.9</v>
      </c>
      <c r="AI25" s="141">
        <v>105.1</v>
      </c>
      <c r="AJ25" s="141">
        <v>108.6</v>
      </c>
      <c r="AK25" s="141">
        <v>123.6</v>
      </c>
      <c r="AL25" s="141">
        <v>116.9</v>
      </c>
      <c r="AM25" s="141">
        <v>110.6</v>
      </c>
      <c r="AN25" s="141">
        <v>107.86</v>
      </c>
      <c r="AO25" s="141">
        <v>117.6</v>
      </c>
      <c r="AP25" s="142">
        <v>117.1</v>
      </c>
    </row>
    <row r="26" spans="1:42" x14ac:dyDescent="0.25">
      <c r="A26" s="140" cm="1">
        <f t="array" ref="A26:AP26">IF(A25&lt;EDATE(DATE3,-12),INDEX(INDICES,MATCH(EDATE(A25,1),'INDICES PRIX'!A:A,0),),"")</f>
        <v>44287</v>
      </c>
      <c r="B26" s="141">
        <v>107.8</v>
      </c>
      <c r="C26" s="141">
        <v>123</v>
      </c>
      <c r="D26" s="141">
        <v>123.6</v>
      </c>
      <c r="E26" s="141">
        <v>117.44998559216218</v>
      </c>
      <c r="F26" s="141">
        <v>117.92</v>
      </c>
      <c r="G26" s="141">
        <v>103.5</v>
      </c>
      <c r="H26" s="141">
        <v>109.5</v>
      </c>
      <c r="I26" s="141">
        <v>130.69999999999999</v>
      </c>
      <c r="J26" s="141">
        <v>91.3</v>
      </c>
      <c r="K26" s="141">
        <v>97.252541983489749</v>
      </c>
      <c r="L26" s="141">
        <v>104.9</v>
      </c>
      <c r="M26" s="141">
        <v>122.9</v>
      </c>
      <c r="N26" s="141">
        <v>106.4</v>
      </c>
      <c r="O26" s="141">
        <v>149.4</v>
      </c>
      <c r="P26" s="141">
        <v>104.2</v>
      </c>
      <c r="Q26" s="141">
        <v>108.1</v>
      </c>
      <c r="R26" s="141">
        <v>103.6</v>
      </c>
      <c r="S26" s="141">
        <v>119.5</v>
      </c>
      <c r="T26" s="141">
        <v>145.80000000000001</v>
      </c>
      <c r="U26" s="141">
        <v>157.80000000000001</v>
      </c>
      <c r="V26" s="141">
        <v>109.7</v>
      </c>
      <c r="W26" s="141">
        <v>101.6</v>
      </c>
      <c r="X26" s="141">
        <v>97.5</v>
      </c>
      <c r="Y26" s="141">
        <v>103.4</v>
      </c>
      <c r="Z26" s="141">
        <v>107.35887096774194</v>
      </c>
      <c r="AA26" s="141">
        <v>108.4</v>
      </c>
      <c r="AB26" s="141">
        <v>134.69999999999999</v>
      </c>
      <c r="AC26" s="141">
        <v>112.9</v>
      </c>
      <c r="AD26" s="141">
        <v>104.7</v>
      </c>
      <c r="AE26" s="141">
        <v>108.4</v>
      </c>
      <c r="AF26" s="141">
        <v>104.8</v>
      </c>
      <c r="AG26" s="141">
        <v>105.3</v>
      </c>
      <c r="AH26" s="141">
        <v>95.6</v>
      </c>
      <c r="AI26" s="141">
        <v>105.5</v>
      </c>
      <c r="AJ26" s="141">
        <v>109.3</v>
      </c>
      <c r="AK26" s="141">
        <v>126.1</v>
      </c>
      <c r="AL26" s="141">
        <v>133.30000000000001</v>
      </c>
      <c r="AM26" s="141">
        <v>112.6</v>
      </c>
      <c r="AN26" s="141">
        <v>107.33</v>
      </c>
      <c r="AO26" s="141">
        <v>117.8</v>
      </c>
      <c r="AP26" s="142">
        <v>117.6</v>
      </c>
    </row>
    <row r="27" spans="1:42" x14ac:dyDescent="0.25">
      <c r="A27" s="140" cm="1">
        <f t="array" ref="A27:AP27">IF(A26&lt;EDATE(DATE3,-12),INDEX(INDICES,MATCH(EDATE(A26,1),'INDICES PRIX'!A:A,0),),"")</f>
        <v>44317</v>
      </c>
      <c r="B27" s="141">
        <v>107.2</v>
      </c>
      <c r="C27" s="141">
        <v>122.7</v>
      </c>
      <c r="D27" s="141">
        <v>123.3</v>
      </c>
      <c r="E27" s="141">
        <v>121.36177120353477</v>
      </c>
      <c r="F27" s="141">
        <v>119.24</v>
      </c>
      <c r="G27" s="141">
        <v>104.4</v>
      </c>
      <c r="H27" s="141">
        <v>109.5</v>
      </c>
      <c r="I27" s="141">
        <v>119.4</v>
      </c>
      <c r="J27" s="141">
        <v>107.7</v>
      </c>
      <c r="K27" s="141">
        <v>96.963473724732353</v>
      </c>
      <c r="L27" s="141">
        <v>107.6</v>
      </c>
      <c r="M27" s="141">
        <v>123.5</v>
      </c>
      <c r="N27" s="141">
        <v>106</v>
      </c>
      <c r="O27" s="141">
        <v>153.5</v>
      </c>
      <c r="P27" s="141">
        <v>104.1</v>
      </c>
      <c r="Q27" s="141">
        <v>111.7</v>
      </c>
      <c r="R27" s="141">
        <v>103.4</v>
      </c>
      <c r="S27" s="141">
        <v>120.9</v>
      </c>
      <c r="T27" s="141">
        <v>147.9</v>
      </c>
      <c r="U27" s="141">
        <v>156.1</v>
      </c>
      <c r="V27" s="141">
        <v>108.6</v>
      </c>
      <c r="W27" s="141">
        <v>101.3</v>
      </c>
      <c r="X27" s="141">
        <v>98.2</v>
      </c>
      <c r="Y27" s="141">
        <v>105.2</v>
      </c>
      <c r="Z27" s="141">
        <v>109.97983870967741</v>
      </c>
      <c r="AA27" s="141">
        <v>108.1</v>
      </c>
      <c r="AB27" s="141">
        <v>139.30000000000001</v>
      </c>
      <c r="AC27" s="141">
        <v>113.4</v>
      </c>
      <c r="AD27" s="141">
        <v>105.1</v>
      </c>
      <c r="AE27" s="141">
        <v>111.4</v>
      </c>
      <c r="AF27" s="141">
        <v>104.5</v>
      </c>
      <c r="AG27" s="141">
        <v>105.3</v>
      </c>
      <c r="AH27" s="141">
        <v>97.5</v>
      </c>
      <c r="AI27" s="141">
        <v>103.3</v>
      </c>
      <c r="AJ27" s="141">
        <v>111.3</v>
      </c>
      <c r="AK27" s="141">
        <v>127.8</v>
      </c>
      <c r="AL27" s="141">
        <v>137.6</v>
      </c>
      <c r="AM27" s="141">
        <v>113.4</v>
      </c>
      <c r="AN27" s="141">
        <v>107.21</v>
      </c>
      <c r="AO27" s="141">
        <v>117.9</v>
      </c>
      <c r="AP27" s="142">
        <v>119.1</v>
      </c>
    </row>
    <row r="28" spans="1:42" x14ac:dyDescent="0.25">
      <c r="A28" s="140" cm="1">
        <f t="array" ref="A28:AP28">IF(A27&lt;EDATE(DATE3,-12),INDEX(INDICES,MATCH(EDATE(A27,1),'INDICES PRIX'!A:A,0),),"")</f>
        <v>44348</v>
      </c>
      <c r="B28" s="141">
        <v>107.8</v>
      </c>
      <c r="C28" s="141">
        <v>122.5</v>
      </c>
      <c r="D28" s="141">
        <v>123</v>
      </c>
      <c r="E28" s="141">
        <v>124.19919316107966</v>
      </c>
      <c r="F28" s="141">
        <v>121.32</v>
      </c>
      <c r="G28" s="141">
        <v>105</v>
      </c>
      <c r="H28" s="141">
        <v>110.6</v>
      </c>
      <c r="I28" s="141">
        <v>111</v>
      </c>
      <c r="J28" s="141">
        <v>129.69999999999999</v>
      </c>
      <c r="K28" s="141">
        <v>100.23097743532924</v>
      </c>
      <c r="L28" s="141">
        <v>115.2</v>
      </c>
      <c r="M28" s="141">
        <v>123.9</v>
      </c>
      <c r="N28" s="141">
        <v>105.6</v>
      </c>
      <c r="O28" s="141">
        <v>167.7</v>
      </c>
      <c r="P28" s="141">
        <v>104.1</v>
      </c>
      <c r="Q28" s="141">
        <v>116.7</v>
      </c>
      <c r="R28" s="141">
        <v>103.9</v>
      </c>
      <c r="S28" s="141">
        <v>122.5</v>
      </c>
      <c r="T28" s="141">
        <v>161.4</v>
      </c>
      <c r="U28" s="141">
        <v>156.6</v>
      </c>
      <c r="V28" s="141">
        <v>106.8</v>
      </c>
      <c r="W28" s="141">
        <v>101.1</v>
      </c>
      <c r="X28" s="141">
        <v>99.3</v>
      </c>
      <c r="Y28" s="141">
        <v>104.4</v>
      </c>
      <c r="Z28" s="141">
        <v>110.98790322580645</v>
      </c>
      <c r="AA28" s="141">
        <v>109.3</v>
      </c>
      <c r="AB28" s="141">
        <v>137.19999999999999</v>
      </c>
      <c r="AC28" s="141">
        <v>114.2</v>
      </c>
      <c r="AD28" s="141">
        <v>104.8</v>
      </c>
      <c r="AE28" s="141">
        <v>116.4</v>
      </c>
      <c r="AF28" s="141">
        <v>104.7</v>
      </c>
      <c r="AG28" s="141">
        <v>105.5</v>
      </c>
      <c r="AH28" s="141">
        <v>96.8</v>
      </c>
      <c r="AI28" s="141">
        <v>102.4</v>
      </c>
      <c r="AJ28" s="141">
        <v>113.3</v>
      </c>
      <c r="AK28" s="141">
        <v>136.9</v>
      </c>
      <c r="AL28" s="141">
        <v>144.6</v>
      </c>
      <c r="AM28" s="141">
        <v>115.2</v>
      </c>
      <c r="AN28" s="141">
        <v>108.37</v>
      </c>
      <c r="AO28" s="141">
        <v>118.1</v>
      </c>
      <c r="AP28" s="142">
        <v>122.4</v>
      </c>
    </row>
    <row r="29" spans="1:42" x14ac:dyDescent="0.25">
      <c r="A29" s="140" cm="1">
        <f t="array" ref="A29:AP29">IF(A28&lt;EDATE(DATE3,-12),INDEX(INDICES,MATCH(EDATE(A28,1),'INDICES PRIX'!A:A,0),),"")</f>
        <v>44378</v>
      </c>
      <c r="B29" s="141">
        <v>108.3</v>
      </c>
      <c r="C29" s="141">
        <v>122.5</v>
      </c>
      <c r="D29" s="141">
        <v>123.1</v>
      </c>
      <c r="E29" s="141">
        <v>126.7198155796754</v>
      </c>
      <c r="F29" s="141">
        <v>123.71</v>
      </c>
      <c r="G29" s="141">
        <v>106.6</v>
      </c>
      <c r="H29" s="141">
        <v>110.6</v>
      </c>
      <c r="I29" s="141">
        <v>111.9</v>
      </c>
      <c r="J29" s="141">
        <v>153.9</v>
      </c>
      <c r="K29" s="141">
        <v>104.68228449131354</v>
      </c>
      <c r="L29" s="141">
        <v>120.6</v>
      </c>
      <c r="M29" s="141">
        <v>136.6</v>
      </c>
      <c r="N29" s="141">
        <v>106.7</v>
      </c>
      <c r="O29" s="141">
        <v>185.7</v>
      </c>
      <c r="P29" s="141">
        <v>104.1</v>
      </c>
      <c r="Q29" s="141">
        <v>118.8</v>
      </c>
      <c r="R29" s="141">
        <v>104.1</v>
      </c>
      <c r="S29" s="141">
        <v>124.3</v>
      </c>
      <c r="T29" s="141">
        <v>179.7</v>
      </c>
      <c r="U29" s="141">
        <v>165.2</v>
      </c>
      <c r="V29" s="141">
        <v>109</v>
      </c>
      <c r="W29" s="141">
        <v>101.8</v>
      </c>
      <c r="X29" s="141">
        <v>100.8</v>
      </c>
      <c r="Y29" s="141">
        <v>104.4</v>
      </c>
      <c r="Z29" s="141">
        <v>112.29838709677421</v>
      </c>
      <c r="AA29" s="141">
        <v>109.5</v>
      </c>
      <c r="AB29" s="141">
        <v>137.80000000000001</v>
      </c>
      <c r="AC29" s="141">
        <v>115.3</v>
      </c>
      <c r="AD29" s="141">
        <v>104.9</v>
      </c>
      <c r="AE29" s="141">
        <v>120.2</v>
      </c>
      <c r="AF29" s="141">
        <v>105.6</v>
      </c>
      <c r="AG29" s="141">
        <v>106.3</v>
      </c>
      <c r="AH29" s="141">
        <v>97.2</v>
      </c>
      <c r="AI29" s="141">
        <v>101.9</v>
      </c>
      <c r="AJ29" s="141">
        <v>114.1</v>
      </c>
      <c r="AK29" s="141">
        <v>143.6</v>
      </c>
      <c r="AL29" s="141">
        <v>168.9</v>
      </c>
      <c r="AM29" s="141">
        <v>117.8</v>
      </c>
      <c r="AN29" s="141">
        <v>110.94</v>
      </c>
      <c r="AO29" s="141">
        <v>118.1</v>
      </c>
      <c r="AP29" s="142">
        <v>123.2</v>
      </c>
    </row>
    <row r="30" spans="1:42" x14ac:dyDescent="0.25">
      <c r="A30" s="140" cm="1">
        <f t="array" ref="A30:AP30">IF(A29&lt;EDATE(DATE3,-12),INDEX(INDICES,MATCH(EDATE(A29,1),'INDICES PRIX'!A:A,0),),"")</f>
        <v>44409</v>
      </c>
      <c r="B30" s="141">
        <v>108.2</v>
      </c>
      <c r="C30" s="141">
        <v>122.6</v>
      </c>
      <c r="D30" s="141">
        <v>123.1</v>
      </c>
      <c r="E30" s="141">
        <v>125.14959177792723</v>
      </c>
      <c r="F30" s="141">
        <v>122.96</v>
      </c>
      <c r="G30" s="141">
        <v>106.7</v>
      </c>
      <c r="H30" s="141">
        <v>110.6</v>
      </c>
      <c r="I30" s="141">
        <v>111.4</v>
      </c>
      <c r="J30" s="141">
        <v>190.4</v>
      </c>
      <c r="K30" s="141">
        <v>103.58316482349619</v>
      </c>
      <c r="L30" s="141">
        <v>122.3</v>
      </c>
      <c r="M30" s="141">
        <v>136.80000000000001</v>
      </c>
      <c r="N30" s="141">
        <v>108.3</v>
      </c>
      <c r="O30" s="141">
        <v>191.7</v>
      </c>
      <c r="P30" s="141">
        <v>104.9</v>
      </c>
      <c r="Q30" s="141">
        <v>121.1</v>
      </c>
      <c r="R30" s="141">
        <v>105.1</v>
      </c>
      <c r="S30" s="141">
        <v>129.69999999999999</v>
      </c>
      <c r="T30" s="141">
        <v>185.8</v>
      </c>
      <c r="U30" s="141">
        <v>167.9</v>
      </c>
      <c r="V30" s="141">
        <v>109.5</v>
      </c>
      <c r="W30" s="141">
        <v>101</v>
      </c>
      <c r="X30" s="141">
        <v>101.4</v>
      </c>
      <c r="Y30" s="141">
        <v>105.5</v>
      </c>
      <c r="Z30" s="141">
        <v>111.69354838709677</v>
      </c>
      <c r="AA30" s="141">
        <v>110.1</v>
      </c>
      <c r="AB30" s="141">
        <v>136.4</v>
      </c>
      <c r="AC30" s="141">
        <v>114.2</v>
      </c>
      <c r="AD30" s="141">
        <v>105.1</v>
      </c>
      <c r="AE30" s="141">
        <v>122.4</v>
      </c>
      <c r="AF30" s="141">
        <v>106.1</v>
      </c>
      <c r="AG30" s="141">
        <v>107</v>
      </c>
      <c r="AH30" s="141">
        <v>95.2</v>
      </c>
      <c r="AI30" s="141">
        <v>103.2</v>
      </c>
      <c r="AJ30" s="141">
        <v>120.7</v>
      </c>
      <c r="AK30" s="141">
        <v>146.9</v>
      </c>
      <c r="AL30" s="141">
        <v>171.2</v>
      </c>
      <c r="AM30" s="141">
        <v>120.1</v>
      </c>
      <c r="AN30" s="141">
        <v>113.93</v>
      </c>
      <c r="AO30" s="141">
        <v>118.3</v>
      </c>
      <c r="AP30" s="142">
        <v>124.3</v>
      </c>
    </row>
    <row r="31" spans="1:42" x14ac:dyDescent="0.25">
      <c r="A31" s="140" cm="1">
        <f t="array" ref="A31:AP31">IF(A30&lt;EDATE(DATE3,-12),INDEX(INDICES,MATCH(EDATE(A30,1),'INDICES PRIX'!A:A,0),),"")</f>
        <v>44440</v>
      </c>
      <c r="B31" s="141">
        <v>108.6</v>
      </c>
      <c r="C31" s="141">
        <v>122.7</v>
      </c>
      <c r="D31" s="141">
        <v>123.1</v>
      </c>
      <c r="E31" s="141">
        <v>129.77761982518496</v>
      </c>
      <c r="F31" s="141">
        <v>124.37</v>
      </c>
      <c r="G31" s="141">
        <v>105.4</v>
      </c>
      <c r="H31" s="141">
        <v>110.5</v>
      </c>
      <c r="I31" s="141">
        <v>111.5</v>
      </c>
      <c r="J31" s="141">
        <v>249.5</v>
      </c>
      <c r="K31" s="141">
        <v>105.88777057859708</v>
      </c>
      <c r="L31" s="141">
        <v>123.4</v>
      </c>
      <c r="M31" s="141">
        <v>137.30000000000001</v>
      </c>
      <c r="N31" s="141">
        <v>105.5</v>
      </c>
      <c r="O31" s="141">
        <v>196.7</v>
      </c>
      <c r="P31" s="141">
        <v>104.6</v>
      </c>
      <c r="Q31" s="141">
        <v>120.7</v>
      </c>
      <c r="R31" s="141">
        <v>106</v>
      </c>
      <c r="S31" s="141">
        <v>134.1</v>
      </c>
      <c r="T31" s="141">
        <v>195.4</v>
      </c>
      <c r="U31" s="141">
        <v>173.6</v>
      </c>
      <c r="V31" s="141">
        <v>110</v>
      </c>
      <c r="W31" s="141">
        <v>103.2</v>
      </c>
      <c r="X31" s="141">
        <v>103.6</v>
      </c>
      <c r="Y31" s="141">
        <v>105.3</v>
      </c>
      <c r="Z31" s="141">
        <v>113.20564516129032</v>
      </c>
      <c r="AA31" s="141">
        <v>110.7</v>
      </c>
      <c r="AB31" s="141">
        <v>136.80000000000001</v>
      </c>
      <c r="AC31" s="141">
        <v>117.8</v>
      </c>
      <c r="AD31" s="141">
        <v>105.9</v>
      </c>
      <c r="AE31" s="141">
        <v>124</v>
      </c>
      <c r="AF31" s="141">
        <v>106.3</v>
      </c>
      <c r="AG31" s="141">
        <v>106.8</v>
      </c>
      <c r="AH31" s="141">
        <v>96.5</v>
      </c>
      <c r="AI31" s="141">
        <v>102.4</v>
      </c>
      <c r="AJ31" s="141">
        <v>118.7</v>
      </c>
      <c r="AK31" s="141">
        <v>150</v>
      </c>
      <c r="AL31" s="141">
        <v>179.6</v>
      </c>
      <c r="AM31" s="141">
        <v>121.4</v>
      </c>
      <c r="AN31" s="141">
        <v>110.01</v>
      </c>
      <c r="AO31" s="141">
        <v>118.2</v>
      </c>
      <c r="AP31" s="142">
        <v>123.4</v>
      </c>
    </row>
    <row r="32" spans="1:42" x14ac:dyDescent="0.25">
      <c r="A32" s="140" t="str" cm="1">
        <f t="array" ref="A32">IF(A31&lt;EDATE(DATE3,-12),INDEX(INDICES,MATCH(EDATE(A31,1),'INDICES PRIX'!A:A,0),),"")</f>
        <v/>
      </c>
      <c r="B32" s="141"/>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2"/>
    </row>
    <row r="33" spans="1:42" x14ac:dyDescent="0.25">
      <c r="A33" s="140" t="str" cm="1">
        <f t="array" ref="A33">IF(A32&lt;EDATE(DATE3,-12),INDEX(INDICES,MATCH(EDATE(A32,1),'INDICES PRIX'!A:A,0),),"")</f>
        <v/>
      </c>
      <c r="B33" s="141"/>
      <c r="C33" s="141"/>
      <c r="D33" s="141"/>
      <c r="E33" s="141"/>
      <c r="F33" s="141"/>
      <c r="G33" s="141"/>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2"/>
    </row>
    <row r="34" spans="1:42" x14ac:dyDescent="0.25">
      <c r="A34" s="140" t="str" cm="1">
        <f t="array" ref="A34">IF(A33&lt;EDATE(DATE3,-12),INDEX(INDICES,MATCH(EDATE(A33,1),'INDICES PRIX'!A:A,0),),"")</f>
        <v/>
      </c>
      <c r="B34" s="141"/>
      <c r="C34" s="141"/>
      <c r="D34" s="141"/>
      <c r="E34" s="141"/>
      <c r="F34" s="141"/>
      <c r="G34" s="141"/>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2"/>
    </row>
    <row r="35" spans="1:42" x14ac:dyDescent="0.25">
      <c r="A35" s="143" t="str" cm="1">
        <f t="array" ref="A35">IF(A34&lt;EDATE(DATE3,-12),INDEX(INDICES,MATCH(EDATE(A34,1),'INDICES PRIX'!A:A,0),),"")</f>
        <v/>
      </c>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5"/>
    </row>
    <row r="36" spans="1:42" x14ac:dyDescent="0.25">
      <c r="A36" s="136" t="s">
        <v>219</v>
      </c>
      <c r="B36">
        <f>SUM(B23:B35)</f>
        <v>964.5</v>
      </c>
      <c r="C36" s="121">
        <f>SUM(C23:C35)</f>
        <v>1106</v>
      </c>
      <c r="D36" s="121">
        <f t="shared" ref="D36:AP36" si="1">SUM(D23:D35)</f>
        <v>1110.4000000000001</v>
      </c>
      <c r="E36" s="121">
        <f t="shared" si="1"/>
        <v>1093.3854000576316</v>
      </c>
      <c r="F36" s="121">
        <f t="shared" si="1"/>
        <v>1075.3899999999999</v>
      </c>
      <c r="G36" s="121">
        <f t="shared" si="1"/>
        <v>941.9</v>
      </c>
      <c r="H36" s="121">
        <f t="shared" si="1"/>
        <v>988.40000000000009</v>
      </c>
      <c r="I36" s="121">
        <f t="shared" si="1"/>
        <v>1103</v>
      </c>
      <c r="J36" s="121">
        <f t="shared" si="1"/>
        <v>1192.3</v>
      </c>
      <c r="K36" s="121">
        <f t="shared" si="1"/>
        <v>892.2088671215048</v>
      </c>
      <c r="L36" s="121">
        <f t="shared" si="1"/>
        <v>994.6</v>
      </c>
      <c r="M36" s="121">
        <f t="shared" si="1"/>
        <v>1125</v>
      </c>
      <c r="N36" s="121">
        <f t="shared" si="1"/>
        <v>956.4</v>
      </c>
      <c r="O36" s="121">
        <f t="shared" si="1"/>
        <v>1459.3000000000002</v>
      </c>
      <c r="P36" s="121">
        <f t="shared" si="1"/>
        <v>939.1</v>
      </c>
      <c r="Q36" s="121">
        <f t="shared" si="1"/>
        <v>994.00000000000011</v>
      </c>
      <c r="R36" s="121">
        <f t="shared" si="1"/>
        <v>942</v>
      </c>
      <c r="S36" s="121">
        <f t="shared" si="1"/>
        <v>1101.2999999999997</v>
      </c>
      <c r="T36" s="121">
        <f t="shared" si="1"/>
        <v>1413.3</v>
      </c>
      <c r="U36" s="121">
        <f t="shared" si="1"/>
        <v>1407.8000000000002</v>
      </c>
      <c r="V36" s="121">
        <f t="shared" si="1"/>
        <v>976.9</v>
      </c>
      <c r="W36" s="121">
        <f t="shared" si="1"/>
        <v>914</v>
      </c>
      <c r="X36" s="121">
        <f t="shared" si="1"/>
        <v>884.9</v>
      </c>
      <c r="Y36" s="121">
        <f t="shared" si="1"/>
        <v>936.49999999999989</v>
      </c>
      <c r="Z36" s="121">
        <f t="shared" si="1"/>
        <v>983.56854838709694</v>
      </c>
      <c r="AA36" s="121">
        <f t="shared" si="1"/>
        <v>977.2</v>
      </c>
      <c r="AB36" s="121">
        <f t="shared" si="1"/>
        <v>1151.2</v>
      </c>
      <c r="AC36" s="121">
        <f t="shared" si="1"/>
        <v>1017.6999999999999</v>
      </c>
      <c r="AD36" s="121">
        <f t="shared" si="1"/>
        <v>943.09999999999991</v>
      </c>
      <c r="AE36" s="121">
        <f t="shared" si="1"/>
        <v>1007.1999999999999</v>
      </c>
      <c r="AF36" s="121">
        <f t="shared" si="1"/>
        <v>946</v>
      </c>
      <c r="AG36" s="121">
        <f t="shared" si="1"/>
        <v>952.3</v>
      </c>
      <c r="AH36" s="121">
        <f t="shared" si="1"/>
        <v>873.50000000000011</v>
      </c>
      <c r="AI36" s="121">
        <f t="shared" si="1"/>
        <v>934.19999999999993</v>
      </c>
      <c r="AJ36" s="121">
        <f t="shared" si="1"/>
        <v>1016.0000000000001</v>
      </c>
      <c r="AK36" s="121">
        <f t="shared" si="1"/>
        <v>1192.5999999999999</v>
      </c>
      <c r="AL36" s="121">
        <f t="shared" si="1"/>
        <v>1272</v>
      </c>
      <c r="AM36" s="121">
        <f t="shared" si="1"/>
        <v>1033.1000000000001</v>
      </c>
      <c r="AN36" s="121">
        <f t="shared" si="1"/>
        <v>979.96</v>
      </c>
      <c r="AO36" s="121">
        <f t="shared" si="1"/>
        <v>1060.5999999999999</v>
      </c>
      <c r="AP36" s="121">
        <f t="shared" si="1"/>
        <v>1070.7</v>
      </c>
    </row>
    <row r="38" spans="1:42" x14ac:dyDescent="0.25">
      <c r="B38" s="252" t="s">
        <v>215</v>
      </c>
      <c r="C38" s="252"/>
      <c r="D38" s="252"/>
    </row>
    <row r="39" spans="1:42" x14ac:dyDescent="0.25">
      <c r="A39" s="138" cm="1">
        <f t="array" ref="A39:AP39">IF(DATE(YEAR(EDATE(DATE3,-24)),1,1)&lt;DATE3,INDEX(INDICES,MATCH(DATE(YEAR(EDATE(DATE3,-24)),1,1),'INDICES PRIX'!A:A,0),),"")</f>
        <v>43831</v>
      </c>
      <c r="B39" s="55">
        <v>104.7</v>
      </c>
      <c r="C39" s="55">
        <v>123.7</v>
      </c>
      <c r="D39" s="55">
        <v>120.1</v>
      </c>
      <c r="E39" s="55">
        <v>128.96496013831526</v>
      </c>
      <c r="F39" s="55">
        <v>127.51</v>
      </c>
      <c r="G39" s="55">
        <v>103.4</v>
      </c>
      <c r="H39" s="55">
        <v>110.5</v>
      </c>
      <c r="I39" s="55">
        <v>129.69999999999999</v>
      </c>
      <c r="J39" s="55">
        <v>65.900000000000006</v>
      </c>
      <c r="K39" s="55">
        <v>96.41528576259725</v>
      </c>
      <c r="L39" s="55">
        <v>100.4</v>
      </c>
      <c r="M39" s="55">
        <v>107.1</v>
      </c>
      <c r="N39" s="55">
        <v>105.2</v>
      </c>
      <c r="O39" s="55">
        <v>112.6</v>
      </c>
      <c r="P39" s="55">
        <v>101.7</v>
      </c>
      <c r="Q39" s="55">
        <v>97.7</v>
      </c>
      <c r="R39" s="55">
        <v>103.4</v>
      </c>
      <c r="S39" s="55">
        <v>112.7</v>
      </c>
      <c r="T39" s="55">
        <v>110</v>
      </c>
      <c r="U39" s="55">
        <v>141.9</v>
      </c>
      <c r="V39" s="55">
        <v>101.8</v>
      </c>
      <c r="W39" s="55">
        <v>100.7</v>
      </c>
      <c r="X39" s="55">
        <v>94.2</v>
      </c>
      <c r="Y39" s="55">
        <v>101.6</v>
      </c>
      <c r="Z39" s="55">
        <v>104.33467741935483</v>
      </c>
      <c r="AA39" s="55">
        <v>106</v>
      </c>
      <c r="AB39" s="55">
        <v>96</v>
      </c>
      <c r="AC39" s="55">
        <v>106</v>
      </c>
      <c r="AD39" s="55">
        <v>102.5</v>
      </c>
      <c r="AE39" s="55">
        <v>96</v>
      </c>
      <c r="AF39" s="55">
        <v>104.2</v>
      </c>
      <c r="AG39" s="55">
        <v>103</v>
      </c>
      <c r="AH39" s="55">
        <v>96.4</v>
      </c>
      <c r="AI39" s="55">
        <v>107</v>
      </c>
      <c r="AJ39" s="55">
        <v>110.4</v>
      </c>
      <c r="AK39" s="55">
        <v>107.8</v>
      </c>
      <c r="AL39" s="55">
        <v>93.5</v>
      </c>
      <c r="AM39" s="55">
        <v>108.6</v>
      </c>
      <c r="AN39" s="55">
        <v>107.52</v>
      </c>
      <c r="AO39" s="55">
        <v>112.1</v>
      </c>
      <c r="AP39" s="8">
        <v>100.4</v>
      </c>
    </row>
    <row r="40" spans="1:42" x14ac:dyDescent="0.25">
      <c r="A40" s="140" cm="1">
        <f t="array" ref="A40:AP40">IF(A39&lt;EDATE(DATE3,-24),INDEX(INDICES,MATCH(EDATE(A39,1),'INDICES PRIX'!A:A,0),),"")</f>
        <v>43862</v>
      </c>
      <c r="B40" s="141">
        <v>105.5</v>
      </c>
      <c r="C40" s="141">
        <v>123.5</v>
      </c>
      <c r="D40" s="141">
        <v>120.2</v>
      </c>
      <c r="E40" s="141">
        <v>120.56288540966285</v>
      </c>
      <c r="F40" s="141">
        <v>121.26</v>
      </c>
      <c r="G40" s="141">
        <v>103.9</v>
      </c>
      <c r="H40" s="141">
        <v>110.5</v>
      </c>
      <c r="I40" s="141">
        <v>131.69999999999999</v>
      </c>
      <c r="J40" s="141">
        <v>52.2</v>
      </c>
      <c r="K40" s="141">
        <v>93.878931349340561</v>
      </c>
      <c r="L40" s="141">
        <v>100.2</v>
      </c>
      <c r="M40" s="141">
        <v>106.9</v>
      </c>
      <c r="N40" s="141">
        <v>103.7</v>
      </c>
      <c r="O40" s="141">
        <v>113.5</v>
      </c>
      <c r="P40" s="141">
        <v>102.5</v>
      </c>
      <c r="Q40" s="141">
        <v>97.1</v>
      </c>
      <c r="R40" s="141">
        <v>103</v>
      </c>
      <c r="S40" s="141">
        <v>112.4</v>
      </c>
      <c r="T40" s="141">
        <v>111</v>
      </c>
      <c r="U40" s="141">
        <v>151.30000000000001</v>
      </c>
      <c r="V40" s="141">
        <v>105.1</v>
      </c>
      <c r="W40" s="141">
        <v>100.8</v>
      </c>
      <c r="X40" s="141">
        <v>93.7</v>
      </c>
      <c r="Y40" s="141">
        <v>102.2</v>
      </c>
      <c r="Z40" s="141">
        <v>105.14112903225806</v>
      </c>
      <c r="AA40" s="141">
        <v>105.7</v>
      </c>
      <c r="AB40" s="141">
        <v>97.1</v>
      </c>
      <c r="AC40" s="141">
        <v>105.2</v>
      </c>
      <c r="AD40" s="141">
        <v>103.3</v>
      </c>
      <c r="AE40" s="141">
        <v>96.2</v>
      </c>
      <c r="AF40" s="141">
        <v>104.3</v>
      </c>
      <c r="AG40" s="141">
        <v>103.1</v>
      </c>
      <c r="AH40" s="141">
        <v>96.6</v>
      </c>
      <c r="AI40" s="141">
        <v>107.2</v>
      </c>
      <c r="AJ40" s="141">
        <v>108.9</v>
      </c>
      <c r="AK40" s="141">
        <v>105.6</v>
      </c>
      <c r="AL40" s="141">
        <v>92.4</v>
      </c>
      <c r="AM40" s="141">
        <v>108.6</v>
      </c>
      <c r="AN40" s="141">
        <v>107.05</v>
      </c>
      <c r="AO40" s="141">
        <v>112.1</v>
      </c>
      <c r="AP40" s="142">
        <v>99.5</v>
      </c>
    </row>
    <row r="41" spans="1:42" x14ac:dyDescent="0.25">
      <c r="A41" s="140" cm="1">
        <f t="array" ref="A41:AP41">IF(A40&lt;EDATE(DATE3,-24),INDEX(INDICES,MATCH(EDATE(A40,1),'INDICES PRIX'!A:A,0),),"")</f>
        <v>43891</v>
      </c>
      <c r="B41" s="141">
        <v>105.3</v>
      </c>
      <c r="C41" s="141">
        <v>123.3</v>
      </c>
      <c r="D41" s="141">
        <v>120.3</v>
      </c>
      <c r="E41" s="141">
        <v>103.85515320334262</v>
      </c>
      <c r="F41" s="141">
        <v>112.7</v>
      </c>
      <c r="G41" s="141">
        <v>103.2</v>
      </c>
      <c r="H41" s="141">
        <v>111.4</v>
      </c>
      <c r="I41" s="141">
        <v>129.1</v>
      </c>
      <c r="J41" s="141">
        <v>43.9</v>
      </c>
      <c r="K41" s="141">
        <v>67.568481569157939</v>
      </c>
      <c r="L41" s="141">
        <v>100.8</v>
      </c>
      <c r="M41" s="141">
        <v>107</v>
      </c>
      <c r="N41" s="141">
        <v>103.5</v>
      </c>
      <c r="O41" s="141">
        <v>112.3</v>
      </c>
      <c r="P41" s="141">
        <v>102.4</v>
      </c>
      <c r="Q41" s="141">
        <v>97.3</v>
      </c>
      <c r="R41" s="141">
        <v>104.4</v>
      </c>
      <c r="S41" s="141">
        <v>110.4</v>
      </c>
      <c r="T41" s="141">
        <v>110.5</v>
      </c>
      <c r="U41" s="141">
        <v>146.19999999999999</v>
      </c>
      <c r="V41" s="141">
        <v>104.3</v>
      </c>
      <c r="W41" s="141">
        <v>98.4</v>
      </c>
      <c r="X41" s="141">
        <v>94.6</v>
      </c>
      <c r="Y41" s="141">
        <v>102.5</v>
      </c>
      <c r="Z41" s="141">
        <v>104.63709677419355</v>
      </c>
      <c r="AA41" s="141">
        <v>105.6</v>
      </c>
      <c r="AB41" s="141">
        <v>95.9</v>
      </c>
      <c r="AC41" s="141">
        <v>106</v>
      </c>
      <c r="AD41" s="141">
        <v>103.4</v>
      </c>
      <c r="AE41" s="141">
        <v>96.1</v>
      </c>
      <c r="AF41" s="141">
        <v>103.7</v>
      </c>
      <c r="AG41" s="141">
        <v>102.3</v>
      </c>
      <c r="AH41" s="141">
        <v>96.7</v>
      </c>
      <c r="AI41" s="141">
        <v>107</v>
      </c>
      <c r="AJ41" s="141">
        <v>109.9</v>
      </c>
      <c r="AK41" s="141">
        <v>106.1</v>
      </c>
      <c r="AL41" s="141">
        <v>91.3</v>
      </c>
      <c r="AM41" s="141">
        <v>108.8</v>
      </c>
      <c r="AN41" s="141">
        <v>107.38</v>
      </c>
      <c r="AO41" s="141">
        <v>112.9</v>
      </c>
      <c r="AP41" s="142">
        <v>100</v>
      </c>
    </row>
    <row r="42" spans="1:42" x14ac:dyDescent="0.25">
      <c r="A42" s="140" cm="1">
        <f t="array" ref="A42:AP42">IF(A41&lt;EDATE(DATE3,-24),INDEX(INDICES,MATCH(EDATE(A41,1),'INDICES PRIX'!A:A,0),),"")</f>
        <v>43922</v>
      </c>
      <c r="B42" s="141">
        <v>105.5</v>
      </c>
      <c r="C42" s="141">
        <v>123.6</v>
      </c>
      <c r="D42" s="141">
        <v>120.8</v>
      </c>
      <c r="E42" s="141">
        <v>92.243761406204982</v>
      </c>
      <c r="F42" s="141">
        <v>105.41</v>
      </c>
      <c r="G42" s="141">
        <v>102.7</v>
      </c>
      <c r="H42" s="141">
        <v>111.4</v>
      </c>
      <c r="I42" s="141">
        <v>124.2</v>
      </c>
      <c r="J42" s="141">
        <v>38.6</v>
      </c>
      <c r="K42" s="141">
        <v>50.96381467703754</v>
      </c>
      <c r="L42" s="141">
        <v>100.7</v>
      </c>
      <c r="M42" s="141">
        <v>106.4</v>
      </c>
      <c r="N42" s="141">
        <v>102.7</v>
      </c>
      <c r="O42" s="141">
        <v>112.1</v>
      </c>
      <c r="P42" s="141">
        <v>103.8</v>
      </c>
      <c r="Q42" s="141">
        <v>98.1</v>
      </c>
      <c r="R42" s="141">
        <v>101.8</v>
      </c>
      <c r="S42" s="141">
        <v>111.5</v>
      </c>
      <c r="T42" s="141">
        <v>110.4</v>
      </c>
      <c r="U42" s="141">
        <v>113.5</v>
      </c>
      <c r="V42" s="141">
        <v>104.8</v>
      </c>
      <c r="W42" s="141">
        <v>102.2</v>
      </c>
      <c r="X42" s="141">
        <v>93.5</v>
      </c>
      <c r="Y42" s="141">
        <v>104.1</v>
      </c>
      <c r="Z42" s="141">
        <v>103.125</v>
      </c>
      <c r="AA42" s="141">
        <v>105.5</v>
      </c>
      <c r="AB42" s="141">
        <v>90.4</v>
      </c>
      <c r="AC42" s="141">
        <v>105.5</v>
      </c>
      <c r="AD42" s="141">
        <v>103.6</v>
      </c>
      <c r="AE42" s="141">
        <v>95.6</v>
      </c>
      <c r="AF42" s="141">
        <v>102.8</v>
      </c>
      <c r="AG42" s="141">
        <v>102.2</v>
      </c>
      <c r="AH42" s="141">
        <v>97.1</v>
      </c>
      <c r="AI42" s="141">
        <v>106.8</v>
      </c>
      <c r="AJ42" s="141">
        <v>111.3</v>
      </c>
      <c r="AK42" s="141">
        <v>106.2</v>
      </c>
      <c r="AL42" s="141">
        <v>91.4</v>
      </c>
      <c r="AM42" s="141">
        <v>109.2</v>
      </c>
      <c r="AN42" s="141">
        <v>106.44</v>
      </c>
      <c r="AO42" s="141">
        <v>113.3</v>
      </c>
      <c r="AP42" s="142">
        <v>99.6</v>
      </c>
    </row>
    <row r="43" spans="1:42" x14ac:dyDescent="0.25">
      <c r="A43" s="140" cm="1">
        <f t="array" ref="A43:AP43">IF(A42&lt;EDATE(DATE3,-24),INDEX(INDICES,MATCH(EDATE(A42,1),'INDICES PRIX'!A:A,0),),"")</f>
        <v>43952</v>
      </c>
      <c r="B43" s="141">
        <v>104.9</v>
      </c>
      <c r="C43" s="141">
        <v>123.8</v>
      </c>
      <c r="D43" s="141">
        <v>121.4</v>
      </c>
      <c r="E43" s="141">
        <v>92.932456056094523</v>
      </c>
      <c r="F43" s="141">
        <v>101.14</v>
      </c>
      <c r="G43" s="141">
        <v>103.1</v>
      </c>
      <c r="H43" s="141">
        <v>111.4</v>
      </c>
      <c r="I43" s="141">
        <v>113.8</v>
      </c>
      <c r="J43" s="141">
        <v>29.4</v>
      </c>
      <c r="K43" s="141">
        <v>55.393980385525879</v>
      </c>
      <c r="L43" s="141">
        <v>100.3</v>
      </c>
      <c r="M43" s="141">
        <v>106.5</v>
      </c>
      <c r="N43" s="141">
        <v>104.4</v>
      </c>
      <c r="O43" s="141">
        <v>111.3</v>
      </c>
      <c r="P43" s="141">
        <v>104.3</v>
      </c>
      <c r="Q43" s="141">
        <v>96</v>
      </c>
      <c r="R43" s="141">
        <v>102</v>
      </c>
      <c r="S43" s="141">
        <v>111.4</v>
      </c>
      <c r="T43" s="141">
        <v>109.1</v>
      </c>
      <c r="U43" s="141">
        <v>109.9</v>
      </c>
      <c r="V43" s="141">
        <v>104.5</v>
      </c>
      <c r="W43" s="141">
        <v>102</v>
      </c>
      <c r="X43" s="141">
        <v>94.3</v>
      </c>
      <c r="Y43" s="141">
        <v>103.5</v>
      </c>
      <c r="Z43" s="141">
        <v>103.72983870967742</v>
      </c>
      <c r="AA43" s="141">
        <v>105.8</v>
      </c>
      <c r="AB43" s="141">
        <v>84.5</v>
      </c>
      <c r="AC43" s="141">
        <v>106</v>
      </c>
      <c r="AD43" s="141">
        <v>103.9</v>
      </c>
      <c r="AE43" s="141">
        <v>95</v>
      </c>
      <c r="AF43" s="141">
        <v>102.9</v>
      </c>
      <c r="AG43" s="141">
        <v>102.4</v>
      </c>
      <c r="AH43" s="141">
        <v>96.1</v>
      </c>
      <c r="AI43" s="141">
        <v>107.1</v>
      </c>
      <c r="AJ43" s="141">
        <v>110.1</v>
      </c>
      <c r="AK43" s="141">
        <v>107.9</v>
      </c>
      <c r="AL43" s="141">
        <v>95.1</v>
      </c>
      <c r="AM43" s="141">
        <v>109.1</v>
      </c>
      <c r="AN43" s="141">
        <v>107.23</v>
      </c>
      <c r="AO43" s="141">
        <v>112.6</v>
      </c>
      <c r="AP43" s="142">
        <v>100.4</v>
      </c>
    </row>
    <row r="44" spans="1:42" x14ac:dyDescent="0.25">
      <c r="A44" s="140" cm="1">
        <f t="array" ref="A44:AP44">IF(A43&lt;EDATE(DATE3,-24),INDEX(INDICES,MATCH(EDATE(A43,1),'INDICES PRIX'!A:A,0),),"")</f>
        <v>43983</v>
      </c>
      <c r="B44" s="141">
        <v>103</v>
      </c>
      <c r="C44" s="141">
        <v>124</v>
      </c>
      <c r="D44" s="141">
        <v>121.9</v>
      </c>
      <c r="E44" s="141">
        <v>98.758812794160036</v>
      </c>
      <c r="F44" s="141">
        <v>104.55</v>
      </c>
      <c r="G44" s="141">
        <v>104</v>
      </c>
      <c r="H44" s="141">
        <v>107.5</v>
      </c>
      <c r="I44" s="141">
        <v>107.3</v>
      </c>
      <c r="J44" s="141">
        <v>24.6</v>
      </c>
      <c r="K44" s="141">
        <v>74.737910043963481</v>
      </c>
      <c r="L44" s="141">
        <v>99.7</v>
      </c>
      <c r="M44" s="141">
        <v>106.5</v>
      </c>
      <c r="N44" s="141">
        <v>105.4</v>
      </c>
      <c r="O44" s="141">
        <v>109.7</v>
      </c>
      <c r="P44" s="141">
        <v>103.3</v>
      </c>
      <c r="Q44" s="141">
        <v>94.2</v>
      </c>
      <c r="R44" s="141">
        <v>102.5</v>
      </c>
      <c r="S44" s="141">
        <v>110.3</v>
      </c>
      <c r="T44" s="141">
        <v>108</v>
      </c>
      <c r="U44" s="141">
        <v>120.6</v>
      </c>
      <c r="V44" s="141">
        <v>105.4</v>
      </c>
      <c r="W44" s="141">
        <v>100.9</v>
      </c>
      <c r="X44" s="141">
        <v>95.3</v>
      </c>
      <c r="Y44" s="141">
        <v>103.9</v>
      </c>
      <c r="Z44" s="141">
        <v>103.83064516129032</v>
      </c>
      <c r="AA44" s="141">
        <v>106.6</v>
      </c>
      <c r="AB44" s="141">
        <v>86.1</v>
      </c>
      <c r="AC44" s="141">
        <v>104.9</v>
      </c>
      <c r="AD44" s="141">
        <v>104</v>
      </c>
      <c r="AE44" s="141">
        <v>92.8</v>
      </c>
      <c r="AF44" s="141">
        <v>103.1</v>
      </c>
      <c r="AG44" s="141">
        <v>102.9</v>
      </c>
      <c r="AH44" s="141">
        <v>98.1</v>
      </c>
      <c r="AI44" s="141">
        <v>106.6</v>
      </c>
      <c r="AJ44" s="141">
        <v>109.4</v>
      </c>
      <c r="AK44" s="141">
        <v>106.3</v>
      </c>
      <c r="AL44" s="141">
        <v>92.9</v>
      </c>
      <c r="AM44" s="141">
        <v>109.1</v>
      </c>
      <c r="AN44" s="141">
        <v>108.12</v>
      </c>
      <c r="AO44" s="141">
        <v>112.5</v>
      </c>
      <c r="AP44" s="142">
        <v>99.5</v>
      </c>
    </row>
    <row r="45" spans="1:42" x14ac:dyDescent="0.25">
      <c r="A45" s="140" cm="1">
        <f t="array" ref="A45:AP45">IF(A44&lt;EDATE(DATE3,-24),INDEX(INDICES,MATCH(EDATE(A44,1),'INDICES PRIX'!A:A,0),),"")</f>
        <v>44013</v>
      </c>
      <c r="B45" s="141">
        <v>102.6</v>
      </c>
      <c r="C45" s="141">
        <v>123.8</v>
      </c>
      <c r="D45" s="141">
        <v>122.1</v>
      </c>
      <c r="E45" s="141">
        <v>100.37035827490156</v>
      </c>
      <c r="F45" s="141">
        <v>107.19</v>
      </c>
      <c r="G45" s="141">
        <v>104.6</v>
      </c>
      <c r="H45" s="141">
        <v>107.5</v>
      </c>
      <c r="I45" s="141">
        <v>106.2</v>
      </c>
      <c r="J45" s="141">
        <v>25.3</v>
      </c>
      <c r="K45" s="141">
        <v>76.962703249756942</v>
      </c>
      <c r="L45" s="141">
        <v>99.7</v>
      </c>
      <c r="M45" s="141">
        <v>106.9</v>
      </c>
      <c r="N45" s="141">
        <v>105.6</v>
      </c>
      <c r="O45" s="141">
        <v>108</v>
      </c>
      <c r="P45" s="141">
        <v>103.2</v>
      </c>
      <c r="Q45" s="141">
        <v>94.1</v>
      </c>
      <c r="R45" s="141">
        <v>102</v>
      </c>
      <c r="S45" s="141">
        <v>111.5</v>
      </c>
      <c r="T45" s="141">
        <v>106.8</v>
      </c>
      <c r="U45" s="141">
        <v>147.80000000000001</v>
      </c>
      <c r="V45" s="141">
        <v>105.7</v>
      </c>
      <c r="W45" s="141">
        <v>100.8</v>
      </c>
      <c r="X45" s="141">
        <v>93.7</v>
      </c>
      <c r="Y45" s="141">
        <v>103.9</v>
      </c>
      <c r="Z45" s="141">
        <v>103.72983870967742</v>
      </c>
      <c r="AA45" s="141">
        <v>106.6</v>
      </c>
      <c r="AB45" s="141">
        <v>89.7</v>
      </c>
      <c r="AC45" s="141">
        <v>104.9</v>
      </c>
      <c r="AD45" s="141">
        <v>103.6</v>
      </c>
      <c r="AE45" s="141">
        <v>93.5</v>
      </c>
      <c r="AF45" s="141">
        <v>103.3</v>
      </c>
      <c r="AG45" s="141">
        <v>103.5</v>
      </c>
      <c r="AH45" s="141">
        <v>98.1</v>
      </c>
      <c r="AI45" s="141">
        <v>106.4</v>
      </c>
      <c r="AJ45" s="141">
        <v>111.5</v>
      </c>
      <c r="AK45" s="141">
        <v>104.6</v>
      </c>
      <c r="AL45" s="141">
        <v>91.6</v>
      </c>
      <c r="AM45" s="141">
        <v>109.5</v>
      </c>
      <c r="AN45" s="141">
        <v>110.6</v>
      </c>
      <c r="AO45" s="141">
        <v>112.7</v>
      </c>
      <c r="AP45" s="142">
        <v>98.3</v>
      </c>
    </row>
    <row r="46" spans="1:42" x14ac:dyDescent="0.25">
      <c r="A46" s="140" cm="1">
        <f t="array" ref="A46:AP46">IF(A45&lt;EDATE(DATE3,-24),INDEX(INDICES,MATCH(EDATE(A45,1),'INDICES PRIX'!A:A,0),),"")</f>
        <v>44044</v>
      </c>
      <c r="B46" s="141">
        <v>102.8</v>
      </c>
      <c r="C46" s="141">
        <v>123.7</v>
      </c>
      <c r="D46" s="141">
        <v>122.4</v>
      </c>
      <c r="E46" s="141">
        <v>99.06183844011143</v>
      </c>
      <c r="F46" s="141">
        <v>106.73</v>
      </c>
      <c r="G46" s="141">
        <v>104.6</v>
      </c>
      <c r="H46" s="141">
        <v>107.5</v>
      </c>
      <c r="I46" s="141">
        <v>108.2</v>
      </c>
      <c r="J46" s="141">
        <v>29.7</v>
      </c>
      <c r="K46" s="141">
        <v>78.186081416283741</v>
      </c>
      <c r="L46" s="141">
        <v>100.8</v>
      </c>
      <c r="M46" s="141">
        <v>106.9</v>
      </c>
      <c r="N46" s="141">
        <v>105.4</v>
      </c>
      <c r="O46" s="141">
        <v>107.4</v>
      </c>
      <c r="P46" s="141">
        <v>103.1</v>
      </c>
      <c r="Q46" s="141">
        <v>95.9</v>
      </c>
      <c r="R46" s="141">
        <v>102.1</v>
      </c>
      <c r="S46" s="141">
        <v>110.7</v>
      </c>
      <c r="T46" s="141">
        <v>106.8</v>
      </c>
      <c r="U46" s="141">
        <v>146.19999999999999</v>
      </c>
      <c r="V46" s="141">
        <v>104.7</v>
      </c>
      <c r="W46" s="141">
        <v>100.6</v>
      </c>
      <c r="X46" s="141">
        <v>93.1</v>
      </c>
      <c r="Y46" s="141">
        <v>104.4</v>
      </c>
      <c r="Z46" s="141">
        <v>103.52822580645162</v>
      </c>
      <c r="AA46" s="141">
        <v>107</v>
      </c>
      <c r="AB46" s="141">
        <v>90.3</v>
      </c>
      <c r="AC46" s="141">
        <v>103.7</v>
      </c>
      <c r="AD46" s="141">
        <v>102.7</v>
      </c>
      <c r="AE46" s="141">
        <v>95.5</v>
      </c>
      <c r="AF46" s="141">
        <v>104.4</v>
      </c>
      <c r="AG46" s="141">
        <v>105.5</v>
      </c>
      <c r="AH46" s="141">
        <v>98.2</v>
      </c>
      <c r="AI46" s="141">
        <v>106</v>
      </c>
      <c r="AJ46" s="141">
        <v>111.6</v>
      </c>
      <c r="AK46" s="141">
        <v>104.4</v>
      </c>
      <c r="AL46" s="141">
        <v>88.5</v>
      </c>
      <c r="AM46" s="141">
        <v>109.4</v>
      </c>
      <c r="AN46" s="141">
        <v>113.33</v>
      </c>
      <c r="AO46" s="141">
        <v>110.5</v>
      </c>
      <c r="AP46" s="142">
        <v>97.7</v>
      </c>
    </row>
    <row r="47" spans="1:42" x14ac:dyDescent="0.25">
      <c r="A47" s="140" cm="1">
        <f t="array" ref="A47:AP47">IF(A46&lt;EDATE(DATE3,-24),INDEX(INDICES,MATCH(EDATE(A46,1),'INDICES PRIX'!A:A,0),),"")</f>
        <v>44075</v>
      </c>
      <c r="B47" s="141">
        <v>104.4</v>
      </c>
      <c r="C47" s="141">
        <v>123.6</v>
      </c>
      <c r="D47" s="141">
        <v>122.6</v>
      </c>
      <c r="E47" s="141">
        <v>94.034367495917806</v>
      </c>
      <c r="F47" s="141">
        <v>104.23</v>
      </c>
      <c r="G47" s="141">
        <v>103</v>
      </c>
      <c r="H47" s="141">
        <v>108.8</v>
      </c>
      <c r="I47" s="141">
        <v>108.6</v>
      </c>
      <c r="J47" s="141">
        <v>43.7</v>
      </c>
      <c r="K47" s="141">
        <v>75.797826992740568</v>
      </c>
      <c r="L47" s="141">
        <v>97.3</v>
      </c>
      <c r="M47" s="141">
        <v>106.9</v>
      </c>
      <c r="N47" s="141">
        <v>106.5</v>
      </c>
      <c r="O47" s="141">
        <v>108.5</v>
      </c>
      <c r="P47" s="141">
        <v>103.1</v>
      </c>
      <c r="Q47" s="141">
        <v>95</v>
      </c>
      <c r="R47" s="141">
        <v>101.9</v>
      </c>
      <c r="S47" s="141">
        <v>111.4</v>
      </c>
      <c r="T47" s="141">
        <v>107</v>
      </c>
      <c r="U47" s="141">
        <v>142.6</v>
      </c>
      <c r="V47" s="141">
        <v>105</v>
      </c>
      <c r="W47" s="141">
        <v>100.4</v>
      </c>
      <c r="X47" s="141">
        <v>94.4</v>
      </c>
      <c r="Y47" s="141">
        <v>103.3</v>
      </c>
      <c r="Z47" s="141">
        <v>103.62903225806451</v>
      </c>
      <c r="AA47" s="141">
        <v>106.6</v>
      </c>
      <c r="AB47" s="141">
        <v>90.4</v>
      </c>
      <c r="AC47" s="141">
        <v>104.2</v>
      </c>
      <c r="AD47" s="141">
        <v>103.2</v>
      </c>
      <c r="AE47" s="141">
        <v>95.8</v>
      </c>
      <c r="AF47" s="141">
        <v>103.9</v>
      </c>
      <c r="AG47" s="141">
        <v>104.8</v>
      </c>
      <c r="AH47" s="141">
        <v>98.4</v>
      </c>
      <c r="AI47" s="141">
        <v>105.9</v>
      </c>
      <c r="AJ47" s="141">
        <v>113</v>
      </c>
      <c r="AK47" s="141">
        <v>104.3</v>
      </c>
      <c r="AL47" s="141">
        <v>90.7</v>
      </c>
      <c r="AM47" s="141">
        <v>109.7</v>
      </c>
      <c r="AN47" s="141">
        <v>108.06</v>
      </c>
      <c r="AO47" s="141">
        <v>111.1</v>
      </c>
      <c r="AP47" s="142">
        <v>101.1</v>
      </c>
    </row>
    <row r="48" spans="1:42" x14ac:dyDescent="0.25">
      <c r="A48" s="140" t="str" cm="1">
        <f t="array" ref="A48">IF(A47&lt;EDATE(DATE3,-24),INDEX(INDICES,MATCH(EDATE(A47,1),'INDICES PRIX'!A:A,0),),"")</f>
        <v/>
      </c>
      <c r="B48" s="141"/>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141"/>
      <c r="AB48" s="141"/>
      <c r="AC48" s="141"/>
      <c r="AD48" s="141"/>
      <c r="AE48" s="141"/>
      <c r="AF48" s="141"/>
      <c r="AG48" s="141"/>
      <c r="AH48" s="141"/>
      <c r="AI48" s="141"/>
      <c r="AJ48" s="141"/>
      <c r="AK48" s="141"/>
      <c r="AL48" s="141"/>
      <c r="AM48" s="141"/>
      <c r="AN48" s="141"/>
      <c r="AO48" s="141"/>
      <c r="AP48" s="142"/>
    </row>
    <row r="49" spans="1:42" x14ac:dyDescent="0.25">
      <c r="A49" s="140" t="str" cm="1">
        <f t="array" ref="A49">IF(A48&lt;EDATE(DATE3,-24),INDEX(INDICES,MATCH(EDATE(A48,1),'INDICES PRIX'!A:A,0),),"")</f>
        <v/>
      </c>
      <c r="B49" s="141"/>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1"/>
      <c r="AI49" s="141"/>
      <c r="AJ49" s="141"/>
      <c r="AK49" s="141"/>
      <c r="AL49" s="141"/>
      <c r="AM49" s="141"/>
      <c r="AN49" s="141"/>
      <c r="AO49" s="141"/>
      <c r="AP49" s="142"/>
    </row>
    <row r="50" spans="1:42" x14ac:dyDescent="0.25">
      <c r="A50" s="140" t="str" cm="1">
        <f t="array" ref="A50">IF(A49&lt;EDATE(DATE3,-24),INDEX(INDICES,MATCH(EDATE(A49,1),'INDICES PRIX'!A:A,0),),"")</f>
        <v/>
      </c>
      <c r="B50" s="141"/>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1"/>
      <c r="AN50" s="141"/>
      <c r="AO50" s="141"/>
      <c r="AP50" s="142"/>
    </row>
    <row r="51" spans="1:42" x14ac:dyDescent="0.25">
      <c r="A51" s="143" t="str" cm="1">
        <f t="array" ref="A51">IF(A50&lt;EDATE(DATE3,-24),INDEX(INDICES,MATCH(EDATE(A50,1),'INDICES PRIX'!A:A,0),),"")</f>
        <v/>
      </c>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5"/>
    </row>
    <row r="52" spans="1:42" x14ac:dyDescent="0.25">
      <c r="A52" s="136" t="s">
        <v>219</v>
      </c>
      <c r="B52">
        <f>SUM(B39:B51)</f>
        <v>938.69999999999993</v>
      </c>
      <c r="C52" s="121">
        <f t="shared" ref="C52:AP52" si="2">SUM(C39:C51)</f>
        <v>1113</v>
      </c>
      <c r="D52" s="121">
        <f t="shared" si="2"/>
        <v>1091.8</v>
      </c>
      <c r="E52" s="121">
        <f t="shared" si="2"/>
        <v>930.78459321871105</v>
      </c>
      <c r="F52" s="121">
        <f t="shared" si="2"/>
        <v>990.72</v>
      </c>
      <c r="G52" s="121">
        <f t="shared" si="2"/>
        <v>932.5</v>
      </c>
      <c r="H52" s="121">
        <f t="shared" si="2"/>
        <v>986.49999999999989</v>
      </c>
      <c r="I52" s="121">
        <f t="shared" si="2"/>
        <v>1058.8</v>
      </c>
      <c r="J52" s="121">
        <f t="shared" si="2"/>
        <v>353.29999999999995</v>
      </c>
      <c r="K52" s="121">
        <f t="shared" si="2"/>
        <v>669.90501544640392</v>
      </c>
      <c r="L52" s="121">
        <f t="shared" si="2"/>
        <v>899.9</v>
      </c>
      <c r="M52" s="121">
        <f t="shared" si="2"/>
        <v>961.09999999999991</v>
      </c>
      <c r="N52" s="121">
        <f t="shared" si="2"/>
        <v>942.4</v>
      </c>
      <c r="O52" s="121">
        <f t="shared" si="2"/>
        <v>995.4</v>
      </c>
      <c r="P52" s="121">
        <f t="shared" si="2"/>
        <v>927.40000000000009</v>
      </c>
      <c r="Q52" s="121">
        <f t="shared" si="2"/>
        <v>865.40000000000009</v>
      </c>
      <c r="R52" s="121">
        <f t="shared" si="2"/>
        <v>923.1</v>
      </c>
      <c r="S52" s="121">
        <f t="shared" si="2"/>
        <v>1002.3</v>
      </c>
      <c r="T52" s="121">
        <f t="shared" si="2"/>
        <v>979.59999999999991</v>
      </c>
      <c r="U52" s="121">
        <f t="shared" si="2"/>
        <v>1220</v>
      </c>
      <c r="V52" s="121">
        <f t="shared" si="2"/>
        <v>941.30000000000007</v>
      </c>
      <c r="W52" s="121">
        <f t="shared" si="2"/>
        <v>906.8</v>
      </c>
      <c r="X52" s="121">
        <f t="shared" si="2"/>
        <v>846.80000000000007</v>
      </c>
      <c r="Y52" s="121">
        <f t="shared" si="2"/>
        <v>929.39999999999986</v>
      </c>
      <c r="Z52" s="121">
        <f t="shared" si="2"/>
        <v>935.6854838709678</v>
      </c>
      <c r="AA52" s="121">
        <f t="shared" si="2"/>
        <v>955.4</v>
      </c>
      <c r="AB52" s="121">
        <f t="shared" si="2"/>
        <v>820.4</v>
      </c>
      <c r="AC52" s="121">
        <f t="shared" si="2"/>
        <v>946.40000000000009</v>
      </c>
      <c r="AD52" s="121">
        <f t="shared" si="2"/>
        <v>930.20000000000016</v>
      </c>
      <c r="AE52" s="121">
        <f t="shared" si="2"/>
        <v>856.49999999999989</v>
      </c>
      <c r="AF52" s="121">
        <f t="shared" si="2"/>
        <v>932.59999999999991</v>
      </c>
      <c r="AG52" s="121">
        <f t="shared" si="2"/>
        <v>929.69999999999993</v>
      </c>
      <c r="AH52" s="121">
        <f t="shared" si="2"/>
        <v>875.7</v>
      </c>
      <c r="AI52" s="121">
        <f t="shared" si="2"/>
        <v>960</v>
      </c>
      <c r="AJ52" s="121">
        <f t="shared" si="2"/>
        <v>996.1</v>
      </c>
      <c r="AK52" s="121">
        <f t="shared" si="2"/>
        <v>953.19999999999993</v>
      </c>
      <c r="AL52" s="121">
        <f t="shared" si="2"/>
        <v>827.40000000000009</v>
      </c>
      <c r="AM52" s="121">
        <f t="shared" si="2"/>
        <v>982</v>
      </c>
      <c r="AN52" s="121">
        <f t="shared" si="2"/>
        <v>975.73</v>
      </c>
      <c r="AO52" s="121">
        <f t="shared" si="2"/>
        <v>1009.8000000000001</v>
      </c>
      <c r="AP52" s="121">
        <f t="shared" si="2"/>
        <v>896.5</v>
      </c>
    </row>
    <row r="54" spans="1:42" s="121" customFormat="1" ht="18.75" x14ac:dyDescent="0.3">
      <c r="A54" s="136"/>
      <c r="B54" s="244" t="s">
        <v>269</v>
      </c>
      <c r="C54" s="244"/>
      <c r="D54" s="244"/>
      <c r="E54" s="244"/>
    </row>
    <row r="55" spans="1:42" s="121" customFormat="1" x14ac:dyDescent="0.25">
      <c r="A55" s="136"/>
      <c r="B55" s="252" t="str">
        <f>"CUMULS EN N ("&amp;TEXT(DATE4,"aaaa")&amp;")"</f>
        <v>CUMULS EN N (2022)</v>
      </c>
      <c r="C55" s="252"/>
      <c r="D55" s="252"/>
    </row>
    <row r="56" spans="1:42" s="121" customFormat="1" x14ac:dyDescent="0.25">
      <c r="A56" s="138" cm="1">
        <f t="array" ref="A56:AP56">IF(DATE(YEAR(DATE3),1,1)&lt;=DATE4,INDEX(INDICES,MATCH(DATE(YEAR(DATE4),1,1),'INDICES PRIX'!A:A,0),),"")</f>
        <v>44562</v>
      </c>
      <c r="B56" s="55">
        <v>110.8</v>
      </c>
      <c r="C56" s="55">
        <v>122.6</v>
      </c>
      <c r="D56" s="55">
        <v>123.6</v>
      </c>
      <c r="E56" s="55">
        <v>156.1</v>
      </c>
      <c r="F56" s="55">
        <v>138.13999999999999</v>
      </c>
      <c r="G56" s="55">
        <v>106.8</v>
      </c>
      <c r="H56" s="55">
        <v>111.4</v>
      </c>
      <c r="I56" s="55">
        <v>153.9</v>
      </c>
      <c r="J56" s="55">
        <v>525.1</v>
      </c>
      <c r="K56" s="55">
        <v>133.34803453745306</v>
      </c>
      <c r="L56" s="55">
        <v>126.1</v>
      </c>
      <c r="M56" s="55">
        <v>152.6</v>
      </c>
      <c r="N56" s="55">
        <v>109.8</v>
      </c>
      <c r="O56" s="55">
        <v>193.7</v>
      </c>
      <c r="P56" s="55">
        <v>105.7</v>
      </c>
      <c r="Q56" s="55">
        <v>124.9</v>
      </c>
      <c r="R56" s="55">
        <v>123</v>
      </c>
      <c r="S56" s="55">
        <v>151.1</v>
      </c>
      <c r="T56" s="55">
        <v>192.2</v>
      </c>
      <c r="U56" s="55">
        <v>182.4</v>
      </c>
      <c r="V56" s="55">
        <v>114.2</v>
      </c>
      <c r="W56" s="55">
        <v>104.6</v>
      </c>
      <c r="X56" s="55">
        <v>110.6</v>
      </c>
      <c r="Y56" s="55">
        <v>111.2</v>
      </c>
      <c r="Z56" s="55">
        <v>114.51612903225806</v>
      </c>
      <c r="AA56" s="55">
        <v>113.8</v>
      </c>
      <c r="AB56" s="55">
        <v>154.80000000000001</v>
      </c>
      <c r="AC56" s="55">
        <v>131.4</v>
      </c>
      <c r="AD56" s="55">
        <v>109.5</v>
      </c>
      <c r="AE56" s="55">
        <v>131.6</v>
      </c>
      <c r="AF56" s="55">
        <v>110.3</v>
      </c>
      <c r="AG56" s="55">
        <v>111.4</v>
      </c>
      <c r="AH56" s="55">
        <v>98</v>
      </c>
      <c r="AI56" s="55">
        <v>102.9</v>
      </c>
      <c r="AJ56" s="55">
        <v>124.1</v>
      </c>
      <c r="AK56" s="55">
        <v>173.6</v>
      </c>
      <c r="AL56" s="55">
        <v>176.4</v>
      </c>
      <c r="AM56" s="55">
        <v>126.2</v>
      </c>
      <c r="AN56" s="55">
        <v>110.08</v>
      </c>
      <c r="AO56" s="55">
        <v>124.9</v>
      </c>
      <c r="AP56" s="8">
        <v>130.19999999999999</v>
      </c>
    </row>
    <row r="57" spans="1:42" s="121" customFormat="1" x14ac:dyDescent="0.25">
      <c r="A57" s="140" cm="1">
        <f t="array" ref="A57:AP57">IF(A56&lt;DATE4,INDEX(INDICES,MATCH(EDATE(A56,1),'INDICES PRIX'!A:A,0),),"")</f>
        <v>44593</v>
      </c>
      <c r="B57" s="141">
        <v>111.3</v>
      </c>
      <c r="C57" s="141">
        <v>122.8</v>
      </c>
      <c r="D57" s="141">
        <v>124</v>
      </c>
      <c r="E57" s="141">
        <v>167.4</v>
      </c>
      <c r="F57" s="141">
        <v>145.84</v>
      </c>
      <c r="G57" s="141">
        <v>106.8</v>
      </c>
      <c r="H57" s="141">
        <v>111.4</v>
      </c>
      <c r="I57" s="141">
        <v>159</v>
      </c>
      <c r="J57" s="141">
        <v>410.7</v>
      </c>
      <c r="K57" s="141">
        <v>144.33923121562654</v>
      </c>
      <c r="L57" s="141">
        <v>127.4</v>
      </c>
      <c r="M57" s="141">
        <v>152.5</v>
      </c>
      <c r="N57" s="141">
        <v>109.6</v>
      </c>
      <c r="O57" s="141">
        <v>196.9</v>
      </c>
      <c r="P57" s="141">
        <v>105.7</v>
      </c>
      <c r="Q57" s="141">
        <v>127.6</v>
      </c>
      <c r="R57" s="141">
        <v>122</v>
      </c>
      <c r="S57" s="141">
        <v>155</v>
      </c>
      <c r="T57" s="141">
        <v>199</v>
      </c>
      <c r="U57" s="141">
        <v>198</v>
      </c>
      <c r="V57" s="141">
        <v>118.2</v>
      </c>
      <c r="W57" s="141">
        <v>105.1</v>
      </c>
      <c r="X57" s="141">
        <v>109.4</v>
      </c>
      <c r="Y57" s="141">
        <v>116</v>
      </c>
      <c r="Z57" s="141">
        <v>114.21370967741936</v>
      </c>
      <c r="AA57" s="141">
        <v>113.9</v>
      </c>
      <c r="AB57" s="141">
        <v>156.80000000000001</v>
      </c>
      <c r="AC57" s="141">
        <v>132.5</v>
      </c>
      <c r="AD57" s="141">
        <v>112.5</v>
      </c>
      <c r="AE57" s="141">
        <v>134.4</v>
      </c>
      <c r="AF57" s="141">
        <v>112.1</v>
      </c>
      <c r="AG57" s="141">
        <v>113</v>
      </c>
      <c r="AH57" s="141">
        <v>99</v>
      </c>
      <c r="AI57" s="141">
        <v>102.6</v>
      </c>
      <c r="AJ57" s="141">
        <v>138.5</v>
      </c>
      <c r="AK57" s="141">
        <v>174.5</v>
      </c>
      <c r="AL57" s="141">
        <v>175.6</v>
      </c>
      <c r="AM57" s="141">
        <v>127.1</v>
      </c>
      <c r="AN57" s="141">
        <v>110.46</v>
      </c>
      <c r="AO57" s="141">
        <v>126.3</v>
      </c>
      <c r="AP57" s="142">
        <v>133</v>
      </c>
    </row>
    <row r="58" spans="1:42" s="121" customFormat="1" x14ac:dyDescent="0.25">
      <c r="A58" s="140" cm="1">
        <f t="array" ref="A58:AP58">IF(A57&lt;DATE4,INDEX(INDICES,MATCH(EDATE(A57,1),'INDICES PRIX'!A:A,0),),"")</f>
        <v>44621</v>
      </c>
      <c r="B58" s="141">
        <v>111.1</v>
      </c>
      <c r="C58" s="141">
        <v>123</v>
      </c>
      <c r="D58" s="141">
        <v>124.5</v>
      </c>
      <c r="E58" s="141">
        <v>224.4</v>
      </c>
      <c r="F58" s="141">
        <v>171.16</v>
      </c>
      <c r="G58" s="141">
        <v>106.8</v>
      </c>
      <c r="H58" s="141">
        <v>111.4</v>
      </c>
      <c r="I58" s="141">
        <v>173</v>
      </c>
      <c r="J58" s="141">
        <v>466.9</v>
      </c>
      <c r="K58" s="141">
        <v>191.7609265609718</v>
      </c>
      <c r="L58" s="141">
        <v>127.2</v>
      </c>
      <c r="M58" s="141">
        <v>152.5</v>
      </c>
      <c r="N58" s="141">
        <v>109.3</v>
      </c>
      <c r="O58" s="141">
        <v>213.4</v>
      </c>
      <c r="P58" s="141">
        <v>106.1</v>
      </c>
      <c r="Q58" s="141">
        <v>129.5</v>
      </c>
      <c r="R58" s="141">
        <v>121.8</v>
      </c>
      <c r="S58" s="141">
        <v>167.8</v>
      </c>
      <c r="T58" s="141">
        <v>208.8</v>
      </c>
      <c r="U58" s="141">
        <v>224.3</v>
      </c>
      <c r="V58" s="141">
        <v>117.3</v>
      </c>
      <c r="W58" s="141">
        <v>106.4</v>
      </c>
      <c r="X58" s="141">
        <v>110.8</v>
      </c>
      <c r="Y58" s="141">
        <v>118.7</v>
      </c>
      <c r="Z58" s="141">
        <v>113.10483870967742</v>
      </c>
      <c r="AA58" s="141">
        <v>115.4</v>
      </c>
      <c r="AB58" s="141">
        <v>160</v>
      </c>
      <c r="AC58" s="141">
        <v>135.6</v>
      </c>
      <c r="AD58" s="141">
        <v>112.4</v>
      </c>
      <c r="AE58" s="141">
        <v>134.6</v>
      </c>
      <c r="AF58" s="141">
        <v>112.5</v>
      </c>
      <c r="AG58" s="141">
        <v>113.3</v>
      </c>
      <c r="AH58" s="141">
        <v>99.2</v>
      </c>
      <c r="AI58" s="141">
        <v>102.9</v>
      </c>
      <c r="AJ58" s="141">
        <v>126.4</v>
      </c>
      <c r="AK58" s="141">
        <v>180</v>
      </c>
      <c r="AL58" s="141">
        <v>178.1</v>
      </c>
      <c r="AM58" s="141">
        <v>129.6</v>
      </c>
      <c r="AN58" s="141">
        <v>111.45</v>
      </c>
      <c r="AO58" s="141">
        <v>126.9</v>
      </c>
      <c r="AP58" s="142">
        <v>142</v>
      </c>
    </row>
    <row r="59" spans="1:42" s="121" customFormat="1" x14ac:dyDescent="0.25">
      <c r="A59" s="140" cm="1">
        <f t="array" ref="A59:AP59">IF(A58&lt;DATE4,INDEX(INDICES,MATCH(EDATE(A58,1),'INDICES PRIX'!A:A,0),),"")</f>
        <v>44652</v>
      </c>
      <c r="B59" s="141">
        <v>113.4</v>
      </c>
      <c r="C59" s="141">
        <v>123.2</v>
      </c>
      <c r="D59" s="141">
        <v>124.8</v>
      </c>
      <c r="E59" s="141">
        <v>188.1</v>
      </c>
      <c r="F59" s="141">
        <v>158.51</v>
      </c>
      <c r="G59" s="141">
        <v>109.9</v>
      </c>
      <c r="H59" s="141">
        <v>115.1</v>
      </c>
      <c r="I59" s="141">
        <v>159.19999999999999</v>
      </c>
      <c r="J59" s="141">
        <v>582.29999999999995</v>
      </c>
      <c r="K59" s="141">
        <v>166.232985889085</v>
      </c>
      <c r="L59" s="141">
        <v>130.19999999999999</v>
      </c>
      <c r="M59" s="141">
        <v>160.30000000000001</v>
      </c>
      <c r="N59" s="141">
        <v>111.3</v>
      </c>
      <c r="O59" s="141">
        <v>249.2</v>
      </c>
      <c r="P59" s="141">
        <v>107.5</v>
      </c>
      <c r="Q59" s="141">
        <v>133.69999999999999</v>
      </c>
      <c r="R59" s="141">
        <v>123.5</v>
      </c>
      <c r="S59" s="141">
        <v>167.9</v>
      </c>
      <c r="T59" s="141">
        <v>244.4</v>
      </c>
      <c r="U59" s="141">
        <v>256</v>
      </c>
      <c r="V59" s="141">
        <v>118.1</v>
      </c>
      <c r="W59" s="141">
        <v>106.9</v>
      </c>
      <c r="X59" s="141">
        <v>115.6</v>
      </c>
      <c r="Y59" s="141">
        <v>123.6</v>
      </c>
      <c r="Z59" s="141">
        <v>112.5</v>
      </c>
      <c r="AA59" s="141">
        <v>116.8</v>
      </c>
      <c r="AB59" s="141">
        <v>171.9</v>
      </c>
      <c r="AC59" s="141">
        <v>138.69999999999999</v>
      </c>
      <c r="AD59" s="141">
        <v>112.5</v>
      </c>
      <c r="AE59" s="141">
        <v>139.1</v>
      </c>
      <c r="AF59" s="141">
        <v>113.7</v>
      </c>
      <c r="AG59" s="141">
        <v>114.8</v>
      </c>
      <c r="AH59" s="141">
        <v>99.1</v>
      </c>
      <c r="AI59" s="141">
        <v>103.5</v>
      </c>
      <c r="AJ59" s="141">
        <v>125</v>
      </c>
      <c r="AK59" s="141">
        <v>194.1</v>
      </c>
      <c r="AL59" s="141">
        <v>181.2</v>
      </c>
      <c r="AM59" s="141">
        <v>131.6</v>
      </c>
      <c r="AN59" s="141">
        <v>110.96</v>
      </c>
      <c r="AO59" s="141">
        <v>126.7</v>
      </c>
      <c r="AP59" s="142">
        <v>144.5</v>
      </c>
    </row>
    <row r="60" spans="1:42" s="121" customFormat="1" x14ac:dyDescent="0.25">
      <c r="A60" s="140" cm="1">
        <f t="array" ref="A60:AP60">IF(A59&lt;DATE4,INDEX(INDICES,MATCH(EDATE(A59,1),'INDICES PRIX'!A:A,0),),"")</f>
        <v>44682</v>
      </c>
      <c r="B60" s="141">
        <v>113.2</v>
      </c>
      <c r="C60" s="141">
        <v>123.5</v>
      </c>
      <c r="D60" s="141">
        <v>125.2</v>
      </c>
      <c r="E60" s="141">
        <v>188.8</v>
      </c>
      <c r="F60" s="141">
        <v>161.19</v>
      </c>
      <c r="G60" s="141">
        <v>110.4</v>
      </c>
      <c r="H60" s="141">
        <v>115.1</v>
      </c>
      <c r="I60" s="141">
        <v>137.69999999999999</v>
      </c>
      <c r="J60" s="141">
        <v>463.2</v>
      </c>
      <c r="K60" s="141">
        <v>169.10487921467225</v>
      </c>
      <c r="L60" s="141">
        <v>135.69999999999999</v>
      </c>
      <c r="M60" s="141">
        <v>160.5</v>
      </c>
      <c r="N60" s="141">
        <v>112.6</v>
      </c>
      <c r="O60" s="141">
        <v>270.7</v>
      </c>
      <c r="P60" s="141">
        <v>108.3</v>
      </c>
      <c r="Q60" s="141">
        <v>138.19999999999999</v>
      </c>
      <c r="R60" s="141">
        <v>126.5</v>
      </c>
      <c r="S60" s="141">
        <v>171.6</v>
      </c>
      <c r="T60" s="141">
        <v>265.3</v>
      </c>
      <c r="U60" s="141">
        <v>248.1</v>
      </c>
      <c r="V60" s="141">
        <v>118.9</v>
      </c>
      <c r="W60" s="141">
        <v>109.1</v>
      </c>
      <c r="X60" s="141">
        <v>121</v>
      </c>
      <c r="Y60" s="141">
        <v>127.6</v>
      </c>
      <c r="Z60" s="141">
        <v>117.6</v>
      </c>
      <c r="AA60" s="141">
        <v>116.9</v>
      </c>
      <c r="AB60" s="141">
        <v>178.4</v>
      </c>
      <c r="AC60" s="141">
        <v>139.6</v>
      </c>
      <c r="AD60" s="141">
        <v>114.2</v>
      </c>
      <c r="AE60" s="141">
        <v>141.6</v>
      </c>
      <c r="AF60" s="141">
        <v>114.7</v>
      </c>
      <c r="AG60" s="141">
        <v>115</v>
      </c>
      <c r="AH60" s="141">
        <v>100.9</v>
      </c>
      <c r="AI60" s="141">
        <v>103.8</v>
      </c>
      <c r="AJ60" s="141">
        <v>132.5</v>
      </c>
      <c r="AK60" s="141">
        <v>197.9</v>
      </c>
      <c r="AL60" s="141">
        <v>188.4</v>
      </c>
      <c r="AM60" s="141">
        <v>134.19999999999999</v>
      </c>
      <c r="AN60" s="141">
        <v>112.72</v>
      </c>
      <c r="AO60" s="141">
        <v>126.9</v>
      </c>
      <c r="AP60" s="142">
        <v>141.69999999999999</v>
      </c>
    </row>
    <row r="61" spans="1:42" s="121" customFormat="1" x14ac:dyDescent="0.25">
      <c r="A61" s="140" cm="1">
        <f t="array" ref="A61:AP61">IF(A60&lt;DATE4,INDEX(INDICES,MATCH(EDATE(A60,1),'INDICES PRIX'!A:A,0),),"")</f>
        <v>44713</v>
      </c>
      <c r="B61" s="141">
        <v>113.3</v>
      </c>
      <c r="C61" s="141">
        <v>123.7</v>
      </c>
      <c r="D61" s="141">
        <v>125.5</v>
      </c>
      <c r="E61" s="141">
        <v>220</v>
      </c>
      <c r="F61" s="141">
        <v>177.37</v>
      </c>
      <c r="G61" s="141">
        <v>111.8</v>
      </c>
      <c r="H61" s="141">
        <v>115.1</v>
      </c>
      <c r="I61" s="141">
        <v>119.7</v>
      </c>
      <c r="J61" s="141">
        <v>470.1</v>
      </c>
      <c r="K61" s="141">
        <v>198.40882777760893</v>
      </c>
      <c r="L61" s="141">
        <v>137.6</v>
      </c>
      <c r="M61" s="141">
        <v>160.6</v>
      </c>
      <c r="N61" s="141">
        <v>112</v>
      </c>
      <c r="O61" s="141">
        <v>256.3</v>
      </c>
      <c r="P61" s="141">
        <v>109.6</v>
      </c>
      <c r="Q61" s="141">
        <v>140.69999999999999</v>
      </c>
      <c r="R61" s="141">
        <v>132.4</v>
      </c>
      <c r="S61" s="141">
        <v>175.7</v>
      </c>
      <c r="T61" s="141">
        <v>253.5</v>
      </c>
      <c r="U61" s="141">
        <v>260.7</v>
      </c>
      <c r="V61" s="141">
        <v>123.4</v>
      </c>
      <c r="W61" s="141">
        <v>110.6</v>
      </c>
      <c r="X61" s="141">
        <v>123.9</v>
      </c>
      <c r="Y61" s="141">
        <v>128.69999999999999</v>
      </c>
      <c r="Z61" s="141">
        <v>121.5</v>
      </c>
      <c r="AA61" s="141">
        <v>118.4</v>
      </c>
      <c r="AB61" s="141">
        <v>175.9</v>
      </c>
      <c r="AC61" s="141">
        <v>147.5</v>
      </c>
      <c r="AD61" s="141">
        <v>117.1</v>
      </c>
      <c r="AE61" s="141">
        <v>143.1</v>
      </c>
      <c r="AF61" s="141">
        <v>115.5</v>
      </c>
      <c r="AG61" s="141">
        <v>115.6</v>
      </c>
      <c r="AH61" s="141">
        <v>101.9</v>
      </c>
      <c r="AI61" s="141">
        <v>103.6</v>
      </c>
      <c r="AJ61" s="141">
        <v>138.4</v>
      </c>
      <c r="AK61" s="141">
        <v>197.6</v>
      </c>
      <c r="AL61" s="141">
        <v>184.8</v>
      </c>
      <c r="AM61" s="141">
        <v>133.6</v>
      </c>
      <c r="AN61" s="141">
        <v>114.25</v>
      </c>
      <c r="AO61" s="141">
        <v>126.8</v>
      </c>
      <c r="AP61" s="142">
        <v>136.69999999999999</v>
      </c>
    </row>
    <row r="62" spans="1:42" s="121" customFormat="1" x14ac:dyDescent="0.25">
      <c r="A62" s="140" cm="1">
        <f t="array" ref="A62:AP62">IF(A61&lt;DATE4,INDEX(INDICES,MATCH(EDATE(A61,1),'INDICES PRIX'!A:A,0),),"")</f>
        <v>44743</v>
      </c>
      <c r="B62" s="141">
        <v>116.6</v>
      </c>
      <c r="C62" s="141">
        <v>123.7</v>
      </c>
      <c r="D62" s="141">
        <v>125.5</v>
      </c>
      <c r="E62" s="141">
        <v>198.7</v>
      </c>
      <c r="F62" s="141">
        <v>169.9</v>
      </c>
      <c r="G62" s="141">
        <v>115.2</v>
      </c>
      <c r="H62" s="141">
        <v>117.1</v>
      </c>
      <c r="I62" s="141">
        <v>121.5</v>
      </c>
      <c r="J62" s="141">
        <v>555.29999999999995</v>
      </c>
      <c r="K62" s="141">
        <v>182.79069185265595</v>
      </c>
      <c r="L62" s="141">
        <v>135.9</v>
      </c>
      <c r="M62" s="141">
        <v>160.6</v>
      </c>
      <c r="N62" s="141">
        <v>113.3</v>
      </c>
      <c r="O62" s="141">
        <v>246.9</v>
      </c>
      <c r="P62" s="141">
        <v>110.7</v>
      </c>
      <c r="Q62" s="141">
        <v>140.4</v>
      </c>
      <c r="R62" s="141">
        <v>133.6</v>
      </c>
      <c r="S62" s="141">
        <v>172</v>
      </c>
      <c r="T62" s="141">
        <v>252.4</v>
      </c>
      <c r="U62" s="141">
        <v>243.5</v>
      </c>
      <c r="V62" s="141">
        <v>125.3</v>
      </c>
      <c r="W62" s="141">
        <v>110.4</v>
      </c>
      <c r="X62" s="141">
        <v>126.1</v>
      </c>
      <c r="Y62" s="141">
        <v>132.5</v>
      </c>
      <c r="Z62" s="141">
        <v>124</v>
      </c>
      <c r="AA62" s="141">
        <v>118.4</v>
      </c>
      <c r="AB62" s="141">
        <v>168.4</v>
      </c>
      <c r="AC62" s="141">
        <v>155</v>
      </c>
      <c r="AD62" s="141">
        <v>121.2</v>
      </c>
      <c r="AE62" s="141">
        <v>143.1</v>
      </c>
      <c r="AF62" s="141">
        <v>116.3</v>
      </c>
      <c r="AG62" s="141">
        <v>116.8</v>
      </c>
      <c r="AH62" s="141">
        <v>101.6</v>
      </c>
      <c r="AI62" s="141">
        <v>104.5</v>
      </c>
      <c r="AJ62" s="141">
        <v>143.6</v>
      </c>
      <c r="AK62" s="141">
        <v>190.4</v>
      </c>
      <c r="AL62" s="141">
        <v>195.8</v>
      </c>
      <c r="AM62" s="141">
        <v>134.30000000000001</v>
      </c>
      <c r="AN62" s="141">
        <v>118.88</v>
      </c>
      <c r="AO62" s="141">
        <v>127.5</v>
      </c>
      <c r="AP62" s="142">
        <v>132.1</v>
      </c>
    </row>
    <row r="63" spans="1:42" s="121" customFormat="1" x14ac:dyDescent="0.25">
      <c r="A63" s="140" cm="1">
        <f t="array" ref="A63:AP63">IF(A62&lt;DATE4,INDEX(INDICES,MATCH(EDATE(A62,1),'INDICES PRIX'!A:A,0),),"")</f>
        <v>44774</v>
      </c>
      <c r="B63" s="141">
        <v>116.6</v>
      </c>
      <c r="C63" s="141">
        <v>123.7</v>
      </c>
      <c r="D63" s="141">
        <v>125.5</v>
      </c>
      <c r="E63" s="141">
        <v>189.1</v>
      </c>
      <c r="F63" s="141">
        <v>158.9</v>
      </c>
      <c r="G63" s="141">
        <v>115.3</v>
      </c>
      <c r="H63" s="141">
        <v>117.1</v>
      </c>
      <c r="I63" s="141">
        <v>122.9</v>
      </c>
      <c r="J63" s="141">
        <v>820.3</v>
      </c>
      <c r="K63" s="141">
        <v>165.98479757699718</v>
      </c>
      <c r="L63" s="141">
        <v>136.9</v>
      </c>
      <c r="M63" s="141">
        <v>160.6</v>
      </c>
      <c r="N63" s="141">
        <v>116.6</v>
      </c>
      <c r="O63" s="141">
        <v>241.2</v>
      </c>
      <c r="P63" s="141">
        <v>111.1</v>
      </c>
      <c r="Q63" s="141">
        <v>139.30000000000001</v>
      </c>
      <c r="R63" s="141">
        <v>133.4</v>
      </c>
      <c r="S63" s="141">
        <v>172.4</v>
      </c>
      <c r="T63" s="141">
        <v>252.7</v>
      </c>
      <c r="U63" s="141">
        <v>215.4</v>
      </c>
      <c r="V63" s="141">
        <v>123.3</v>
      </c>
      <c r="W63" s="141">
        <v>111.7</v>
      </c>
      <c r="X63" s="141">
        <v>125.8</v>
      </c>
      <c r="Y63" s="141">
        <v>133.9</v>
      </c>
      <c r="Z63" s="141">
        <v>124.5</v>
      </c>
      <c r="AA63" s="141">
        <v>117.8</v>
      </c>
      <c r="AB63" s="141">
        <v>170</v>
      </c>
      <c r="AC63" s="141">
        <v>157.4</v>
      </c>
      <c r="AD63" s="141">
        <v>122.7</v>
      </c>
      <c r="AE63" s="141">
        <v>143.1</v>
      </c>
      <c r="AF63" s="141">
        <v>118</v>
      </c>
      <c r="AG63" s="141">
        <v>118.7</v>
      </c>
      <c r="AH63" s="141">
        <v>102</v>
      </c>
      <c r="AI63" s="141">
        <v>104.6</v>
      </c>
      <c r="AJ63" s="141">
        <v>146.80000000000001</v>
      </c>
      <c r="AK63" s="141">
        <v>185.7</v>
      </c>
      <c r="AL63" s="141">
        <v>189.2</v>
      </c>
      <c r="AM63" s="141">
        <v>134.9</v>
      </c>
      <c r="AN63" s="141">
        <v>120.65</v>
      </c>
      <c r="AO63" s="141">
        <v>127.5</v>
      </c>
      <c r="AP63" s="142">
        <v>127.9</v>
      </c>
    </row>
    <row r="64" spans="1:42" s="121" customFormat="1" x14ac:dyDescent="0.25">
      <c r="A64" s="140" cm="1">
        <f t="array" ref="A64:AP64">IF(A63&lt;DATE4,INDEX(INDICES,MATCH(EDATE(A63,1),'INDICES PRIX'!A:A,0),),"")</f>
        <v>44805</v>
      </c>
      <c r="B64" s="141">
        <v>117.1</v>
      </c>
      <c r="C64" s="141">
        <v>123.7</v>
      </c>
      <c r="D64" s="141">
        <v>125.5</v>
      </c>
      <c r="E64" s="141">
        <v>175</v>
      </c>
      <c r="F64" s="141">
        <v>148.12</v>
      </c>
      <c r="G64" s="141">
        <v>112.8</v>
      </c>
      <c r="H64" s="141">
        <v>117.1</v>
      </c>
      <c r="I64" s="141">
        <v>119.8</v>
      </c>
      <c r="J64" s="141">
        <v>972.8</v>
      </c>
      <c r="K64" s="141">
        <v>145.70426693210933</v>
      </c>
      <c r="L64" s="141">
        <v>135.69999999999999</v>
      </c>
      <c r="M64" s="141">
        <v>160.6</v>
      </c>
      <c r="N64" s="141">
        <v>114.6</v>
      </c>
      <c r="O64" s="141">
        <v>229.2</v>
      </c>
      <c r="P64" s="141">
        <v>110.9</v>
      </c>
      <c r="Q64" s="141">
        <v>136.69999999999999</v>
      </c>
      <c r="R64" s="141">
        <v>133.9</v>
      </c>
      <c r="S64" s="141">
        <v>166.9</v>
      </c>
      <c r="T64" s="141">
        <v>241.5</v>
      </c>
      <c r="U64" s="141">
        <v>212.8</v>
      </c>
      <c r="V64" s="141">
        <v>119.2</v>
      </c>
      <c r="W64" s="141">
        <v>111.8</v>
      </c>
      <c r="X64" s="141">
        <v>127</v>
      </c>
      <c r="Y64" s="141">
        <v>133.19999999999999</v>
      </c>
      <c r="Z64" s="141">
        <v>125.6</v>
      </c>
      <c r="AA64" s="141">
        <v>118.4</v>
      </c>
      <c r="AB64" s="141">
        <v>164.8</v>
      </c>
      <c r="AC64" s="141">
        <v>151.19999999999999</v>
      </c>
      <c r="AD64" s="141">
        <v>120.3</v>
      </c>
      <c r="AE64" s="141">
        <v>143.1</v>
      </c>
      <c r="AF64" s="141">
        <v>117</v>
      </c>
      <c r="AG64" s="141">
        <v>116.8</v>
      </c>
      <c r="AH64" s="141">
        <v>103</v>
      </c>
      <c r="AI64" s="141">
        <v>104.8</v>
      </c>
      <c r="AJ64" s="141">
        <v>152.80000000000001</v>
      </c>
      <c r="AK64" s="141">
        <v>183.8</v>
      </c>
      <c r="AL64" s="141">
        <v>168.9</v>
      </c>
      <c r="AM64" s="141">
        <v>135.19999999999999</v>
      </c>
      <c r="AN64" s="141">
        <v>114.92</v>
      </c>
      <c r="AO64" s="141">
        <v>127.5</v>
      </c>
      <c r="AP64" s="142">
        <v>130.30000000000001</v>
      </c>
    </row>
    <row r="65" spans="1:42" s="121" customFormat="1" x14ac:dyDescent="0.25">
      <c r="A65" s="140" t="str" cm="1">
        <f t="array" ref="A65">IF(A64&lt;DATE4,INDEX(INDICES,MATCH(EDATE(A64,1),'INDICES PRIX'!A:A,0),),"")</f>
        <v/>
      </c>
      <c r="B65" s="141"/>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c r="AA65" s="141"/>
      <c r="AB65" s="141"/>
      <c r="AC65" s="141"/>
      <c r="AD65" s="141"/>
      <c r="AE65" s="141"/>
      <c r="AF65" s="141"/>
      <c r="AG65" s="141"/>
      <c r="AH65" s="141"/>
      <c r="AI65" s="141"/>
      <c r="AJ65" s="141"/>
      <c r="AK65" s="141"/>
      <c r="AL65" s="141"/>
      <c r="AM65" s="141"/>
      <c r="AN65" s="141"/>
      <c r="AO65" s="141"/>
      <c r="AP65" s="142"/>
    </row>
    <row r="66" spans="1:42" s="121" customFormat="1" x14ac:dyDescent="0.25">
      <c r="A66" s="140" t="str" cm="1">
        <f t="array" ref="A66">IF(A65&lt;DATE4,INDEX(INDICES,MATCH(EDATE(A65,1),'INDICES PRIX'!A:A,0),),"")</f>
        <v/>
      </c>
      <c r="B66" s="141"/>
      <c r="C66" s="141"/>
      <c r="D66" s="141"/>
      <c r="E66" s="141"/>
      <c r="F66" s="141"/>
      <c r="G66" s="141"/>
      <c r="H66" s="141"/>
      <c r="I66" s="141"/>
      <c r="J66" s="141"/>
      <c r="K66" s="141"/>
      <c r="L66" s="141"/>
      <c r="M66" s="141"/>
      <c r="N66" s="141"/>
      <c r="O66" s="141"/>
      <c r="P66" s="141"/>
      <c r="Q66" s="141"/>
      <c r="R66" s="141"/>
      <c r="S66" s="141"/>
      <c r="T66" s="141"/>
      <c r="U66" s="141"/>
      <c r="V66" s="141"/>
      <c r="W66" s="141"/>
      <c r="X66" s="141"/>
      <c r="Y66" s="141"/>
      <c r="Z66" s="141"/>
      <c r="AA66" s="141"/>
      <c r="AB66" s="141"/>
      <c r="AC66" s="141"/>
      <c r="AD66" s="141"/>
      <c r="AE66" s="141"/>
      <c r="AF66" s="141"/>
      <c r="AG66" s="141"/>
      <c r="AH66" s="141"/>
      <c r="AI66" s="141"/>
      <c r="AJ66" s="141"/>
      <c r="AK66" s="141"/>
      <c r="AL66" s="141"/>
      <c r="AM66" s="141"/>
      <c r="AN66" s="141"/>
      <c r="AO66" s="141"/>
      <c r="AP66" s="142"/>
    </row>
    <row r="67" spans="1:42" s="121" customFormat="1" x14ac:dyDescent="0.25">
      <c r="A67" s="140" t="str" cm="1">
        <f t="array" ref="A67">IF(A66&lt;DATE4,INDEX(INDICES,MATCH(EDATE(A66,1),'INDICES PRIX'!A:A,0),),"")</f>
        <v/>
      </c>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1"/>
      <c r="AN67" s="141"/>
      <c r="AO67" s="141"/>
      <c r="AP67" s="142"/>
    </row>
    <row r="68" spans="1:42" s="121" customFormat="1" x14ac:dyDescent="0.25">
      <c r="A68" s="143" t="str" cm="1">
        <f t="array" ref="A68">IF(A67&lt;DATE4,INDEX(INDICES,MATCH(EDATE(A67,1),'INDICES PRIX'!A:A,0),),"")</f>
        <v/>
      </c>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5"/>
    </row>
    <row r="69" spans="1:42" s="121" customFormat="1" x14ac:dyDescent="0.25">
      <c r="A69" s="136" t="s">
        <v>219</v>
      </c>
      <c r="B69" s="121">
        <f>SUM(B56:B68)</f>
        <v>1023.4000000000001</v>
      </c>
      <c r="C69" s="121">
        <f t="shared" ref="C69:AP69" si="3">SUM(C56:C68)</f>
        <v>1109.9000000000001</v>
      </c>
      <c r="D69" s="121">
        <f t="shared" si="3"/>
        <v>1124.0999999999999</v>
      </c>
      <c r="E69" s="121">
        <f t="shared" si="3"/>
        <v>1707.6</v>
      </c>
      <c r="F69" s="121">
        <f t="shared" si="3"/>
        <v>1429.13</v>
      </c>
      <c r="G69" s="121">
        <f t="shared" si="3"/>
        <v>995.79999999999984</v>
      </c>
      <c r="H69" s="121">
        <f t="shared" si="3"/>
        <v>1030.8000000000002</v>
      </c>
      <c r="I69" s="121">
        <f t="shared" si="3"/>
        <v>1266.7</v>
      </c>
      <c r="J69" s="121">
        <f t="shared" si="3"/>
        <v>5266.7</v>
      </c>
      <c r="K69" s="121">
        <f t="shared" si="3"/>
        <v>1497.6746415571799</v>
      </c>
      <c r="L69" s="121">
        <f t="shared" si="3"/>
        <v>1192.7</v>
      </c>
      <c r="M69" s="121">
        <f t="shared" si="3"/>
        <v>1420.8</v>
      </c>
      <c r="N69" s="121">
        <f t="shared" si="3"/>
        <v>1009.1</v>
      </c>
      <c r="O69" s="121">
        <f t="shared" si="3"/>
        <v>2097.5</v>
      </c>
      <c r="P69" s="121">
        <f t="shared" si="3"/>
        <v>975.6</v>
      </c>
      <c r="Q69" s="121">
        <f t="shared" si="3"/>
        <v>1211.0000000000002</v>
      </c>
      <c r="R69" s="121">
        <f t="shared" si="3"/>
        <v>1150.0999999999999</v>
      </c>
      <c r="S69" s="121">
        <f t="shared" si="3"/>
        <v>1500.4000000000003</v>
      </c>
      <c r="T69" s="121">
        <f t="shared" si="3"/>
        <v>2109.8000000000002</v>
      </c>
      <c r="U69" s="121">
        <f t="shared" si="3"/>
        <v>2041.2</v>
      </c>
      <c r="V69" s="121">
        <f t="shared" si="3"/>
        <v>1077.8999999999999</v>
      </c>
      <c r="W69" s="121">
        <f t="shared" si="3"/>
        <v>976.6</v>
      </c>
      <c r="X69" s="121">
        <f t="shared" si="3"/>
        <v>1070.1999999999998</v>
      </c>
      <c r="Y69" s="121">
        <f t="shared" si="3"/>
        <v>1125.3999999999999</v>
      </c>
      <c r="Z69" s="121">
        <f t="shared" si="3"/>
        <v>1067.5346774193549</v>
      </c>
      <c r="AA69" s="121">
        <f t="shared" si="3"/>
        <v>1049.8</v>
      </c>
      <c r="AB69" s="121">
        <f t="shared" si="3"/>
        <v>1501</v>
      </c>
      <c r="AC69" s="121">
        <f t="shared" si="3"/>
        <v>1288.9000000000001</v>
      </c>
      <c r="AD69" s="121">
        <f t="shared" si="3"/>
        <v>1042.4000000000001</v>
      </c>
      <c r="AE69" s="121">
        <f t="shared" si="3"/>
        <v>1253.7</v>
      </c>
      <c r="AF69" s="121">
        <f t="shared" si="3"/>
        <v>1030.0999999999999</v>
      </c>
      <c r="AG69" s="121">
        <f t="shared" si="3"/>
        <v>1035.4000000000001</v>
      </c>
      <c r="AH69" s="121">
        <f t="shared" si="3"/>
        <v>904.69999999999993</v>
      </c>
      <c r="AI69" s="121">
        <f t="shared" si="3"/>
        <v>933.19999999999993</v>
      </c>
      <c r="AJ69" s="121">
        <f t="shared" si="3"/>
        <v>1228.0999999999999</v>
      </c>
      <c r="AK69" s="121">
        <f t="shared" si="3"/>
        <v>1677.6000000000001</v>
      </c>
      <c r="AL69" s="121">
        <f t="shared" si="3"/>
        <v>1638.4</v>
      </c>
      <c r="AM69" s="121">
        <f t="shared" si="3"/>
        <v>1186.7000000000003</v>
      </c>
      <c r="AN69" s="121">
        <f t="shared" si="3"/>
        <v>1024.3699999999999</v>
      </c>
      <c r="AO69" s="121">
        <f t="shared" si="3"/>
        <v>1141</v>
      </c>
      <c r="AP69" s="121">
        <f t="shared" si="3"/>
        <v>1218.4000000000001</v>
      </c>
    </row>
    <row r="70" spans="1:42" s="121" customFormat="1" x14ac:dyDescent="0.25">
      <c r="A70" s="136"/>
    </row>
    <row r="71" spans="1:42" s="121" customFormat="1" x14ac:dyDescent="0.25">
      <c r="A71" s="136"/>
      <c r="B71" s="252" t="str">
        <f>"CUMULS EN N-1 ("&amp;TEXT(EDATE(DATE4,-12),"aaaa")&amp;")"</f>
        <v>CUMULS EN N-1 (2021)</v>
      </c>
      <c r="C71" s="252"/>
      <c r="D71" s="252"/>
    </row>
    <row r="72" spans="1:42" s="121" customFormat="1" x14ac:dyDescent="0.25">
      <c r="A72" s="138" cm="1">
        <f t="array" ref="A72:AP72">IF(DATE(YEAR(EDATE(DATE4,-12)),1,1)&lt;DATE4,INDEX(INDICES,MATCH(DATE(YEAR(EDATE(DATE4,-12)),1,1),'INDICES PRIX'!A:A,0),),"")</f>
        <v>44197</v>
      </c>
      <c r="B72" s="55">
        <v>104.5</v>
      </c>
      <c r="C72" s="55">
        <v>123.4</v>
      </c>
      <c r="D72" s="55">
        <v>123.6</v>
      </c>
      <c r="E72" s="55">
        <v>110.08095283834412</v>
      </c>
      <c r="F72" s="55">
        <v>111.52</v>
      </c>
      <c r="G72" s="55">
        <v>103.3</v>
      </c>
      <c r="H72" s="55">
        <v>108.8</v>
      </c>
      <c r="I72" s="55">
        <v>133.30000000000001</v>
      </c>
      <c r="J72" s="55">
        <v>87.5</v>
      </c>
      <c r="K72" s="55">
        <v>87.475840517659549</v>
      </c>
      <c r="L72" s="55">
        <v>98.9</v>
      </c>
      <c r="M72" s="55">
        <v>114.6</v>
      </c>
      <c r="N72" s="55">
        <v>105.8</v>
      </c>
      <c r="O72" s="55">
        <v>130.80000000000001</v>
      </c>
      <c r="P72" s="55">
        <v>104.3</v>
      </c>
      <c r="Q72" s="55">
        <v>96.9</v>
      </c>
      <c r="R72" s="55">
        <v>105.7</v>
      </c>
      <c r="S72" s="55">
        <v>114.4</v>
      </c>
      <c r="T72" s="55">
        <v>123</v>
      </c>
      <c r="U72" s="55">
        <v>135.69999999999999</v>
      </c>
      <c r="V72" s="55">
        <v>107.4</v>
      </c>
      <c r="W72" s="55">
        <v>101.6</v>
      </c>
      <c r="X72" s="55">
        <v>94.4</v>
      </c>
      <c r="Y72" s="55">
        <v>102</v>
      </c>
      <c r="Z72" s="55">
        <v>104.33467741935483</v>
      </c>
      <c r="AA72" s="55">
        <v>107</v>
      </c>
      <c r="AB72" s="55">
        <v>101.4</v>
      </c>
      <c r="AC72" s="55">
        <v>108.3</v>
      </c>
      <c r="AD72" s="55">
        <v>103.6</v>
      </c>
      <c r="AE72" s="55">
        <v>99.2</v>
      </c>
      <c r="AF72" s="55">
        <v>104.5</v>
      </c>
      <c r="AG72" s="55">
        <v>105.3</v>
      </c>
      <c r="AH72" s="55">
        <v>98.5</v>
      </c>
      <c r="AI72" s="55">
        <v>105.1</v>
      </c>
      <c r="AJ72" s="55">
        <v>111.4</v>
      </c>
      <c r="AK72" s="55">
        <v>114.6</v>
      </c>
      <c r="AL72" s="55">
        <v>106.2</v>
      </c>
      <c r="AM72" s="55">
        <v>110.7</v>
      </c>
      <c r="AN72" s="55">
        <v>107.3</v>
      </c>
      <c r="AO72" s="55">
        <v>117.1</v>
      </c>
      <c r="AP72" s="8">
        <v>111.7</v>
      </c>
    </row>
    <row r="73" spans="1:42" s="121" customFormat="1" x14ac:dyDescent="0.25">
      <c r="A73" s="140" cm="1">
        <f t="array" ref="A73:AP73">IF(A72&lt;EDATE(DATE4,-12),INDEX(INDICES,MATCH(EDATE(A72,1),'INDICES PRIX'!A:A,0),),"")</f>
        <v>44228</v>
      </c>
      <c r="B73" s="141">
        <v>104.5</v>
      </c>
      <c r="C73" s="141">
        <v>123.3</v>
      </c>
      <c r="D73" s="141">
        <v>123.7</v>
      </c>
      <c r="E73" s="141">
        <v>117.68414177312464</v>
      </c>
      <c r="F73" s="141">
        <v>115.5</v>
      </c>
      <c r="G73" s="141">
        <v>103.6</v>
      </c>
      <c r="H73" s="141">
        <v>108.8</v>
      </c>
      <c r="I73" s="141">
        <v>137.69999999999999</v>
      </c>
      <c r="J73" s="141">
        <v>96.1</v>
      </c>
      <c r="K73" s="141">
        <v>96.424912028356985</v>
      </c>
      <c r="L73" s="141">
        <v>100.5</v>
      </c>
      <c r="M73" s="141">
        <v>114.7</v>
      </c>
      <c r="N73" s="141">
        <v>105.9</v>
      </c>
      <c r="O73" s="141">
        <v>139.19999999999999</v>
      </c>
      <c r="P73" s="141">
        <v>104</v>
      </c>
      <c r="Q73" s="141">
        <v>98.4</v>
      </c>
      <c r="R73" s="141">
        <v>105.7</v>
      </c>
      <c r="S73" s="141">
        <v>117.3</v>
      </c>
      <c r="T73" s="141">
        <v>133.69999999999999</v>
      </c>
      <c r="U73" s="141">
        <v>142.80000000000001</v>
      </c>
      <c r="V73" s="141">
        <v>106.9</v>
      </c>
      <c r="W73" s="141">
        <v>101.2</v>
      </c>
      <c r="X73" s="141">
        <v>95.3</v>
      </c>
      <c r="Y73" s="141">
        <v>102.7</v>
      </c>
      <c r="Z73" s="141">
        <v>106.55241935483872</v>
      </c>
      <c r="AA73" s="141">
        <v>106.9</v>
      </c>
      <c r="AB73" s="141">
        <v>107.2</v>
      </c>
      <c r="AC73" s="141">
        <v>110.8</v>
      </c>
      <c r="AD73" s="141">
        <v>103.8</v>
      </c>
      <c r="AE73" s="141">
        <v>101</v>
      </c>
      <c r="AF73" s="141">
        <v>104.8</v>
      </c>
      <c r="AG73" s="141">
        <v>105.5</v>
      </c>
      <c r="AH73" s="141">
        <v>98.3</v>
      </c>
      <c r="AI73" s="141">
        <v>105.3</v>
      </c>
      <c r="AJ73" s="141">
        <v>108.6</v>
      </c>
      <c r="AK73" s="141">
        <v>123.1</v>
      </c>
      <c r="AL73" s="141">
        <v>113.7</v>
      </c>
      <c r="AM73" s="141">
        <v>111.3</v>
      </c>
      <c r="AN73" s="141">
        <v>107.01</v>
      </c>
      <c r="AO73" s="141">
        <v>117.5</v>
      </c>
      <c r="AP73" s="142">
        <v>111.9</v>
      </c>
    </row>
    <row r="74" spans="1:42" s="121" customFormat="1" x14ac:dyDescent="0.25">
      <c r="A74" s="140" cm="1">
        <f t="array" ref="A74:AP74">IF(A73&lt;EDATE(DATE4,-12),INDEX(INDICES,MATCH(EDATE(A73,1),'INDICES PRIX'!A:A,0),),"")</f>
        <v>44256</v>
      </c>
      <c r="B74" s="141">
        <v>107.6</v>
      </c>
      <c r="C74" s="141">
        <v>123.3</v>
      </c>
      <c r="D74" s="141">
        <v>123.9</v>
      </c>
      <c r="E74" s="141">
        <v>120.96232830659883</v>
      </c>
      <c r="F74" s="141">
        <v>118.85</v>
      </c>
      <c r="G74" s="141">
        <v>103.4</v>
      </c>
      <c r="H74" s="141">
        <v>109.5</v>
      </c>
      <c r="I74" s="141">
        <v>136.1</v>
      </c>
      <c r="J74" s="141">
        <v>86.2</v>
      </c>
      <c r="K74" s="141">
        <v>99.707901538530166</v>
      </c>
      <c r="L74" s="141">
        <v>101.2</v>
      </c>
      <c r="M74" s="141">
        <v>114.7</v>
      </c>
      <c r="N74" s="141">
        <v>106.2</v>
      </c>
      <c r="O74" s="141">
        <v>144.6</v>
      </c>
      <c r="P74" s="141">
        <v>104.8</v>
      </c>
      <c r="Q74" s="141">
        <v>101.6</v>
      </c>
      <c r="R74" s="141">
        <v>104.5</v>
      </c>
      <c r="S74" s="141">
        <v>118.6</v>
      </c>
      <c r="T74" s="141">
        <v>140.6</v>
      </c>
      <c r="U74" s="141">
        <v>152.1</v>
      </c>
      <c r="V74" s="141">
        <v>109</v>
      </c>
      <c r="W74" s="141">
        <v>101.2</v>
      </c>
      <c r="X74" s="141">
        <v>94.4</v>
      </c>
      <c r="Y74" s="141">
        <v>103.6</v>
      </c>
      <c r="Z74" s="141">
        <v>107.15725806451613</v>
      </c>
      <c r="AA74" s="141">
        <v>107.2</v>
      </c>
      <c r="AB74" s="141">
        <v>120.4</v>
      </c>
      <c r="AC74" s="141">
        <v>110.8</v>
      </c>
      <c r="AD74" s="141">
        <v>105.2</v>
      </c>
      <c r="AE74" s="141">
        <v>104.2</v>
      </c>
      <c r="AF74" s="141">
        <v>104.7</v>
      </c>
      <c r="AG74" s="141">
        <v>105.3</v>
      </c>
      <c r="AH74" s="141">
        <v>97.9</v>
      </c>
      <c r="AI74" s="141">
        <v>105.1</v>
      </c>
      <c r="AJ74" s="141">
        <v>108.6</v>
      </c>
      <c r="AK74" s="141">
        <v>123.6</v>
      </c>
      <c r="AL74" s="141">
        <v>116.9</v>
      </c>
      <c r="AM74" s="141">
        <v>110.6</v>
      </c>
      <c r="AN74" s="141">
        <v>107.86</v>
      </c>
      <c r="AO74" s="141">
        <v>117.6</v>
      </c>
      <c r="AP74" s="142">
        <v>117.1</v>
      </c>
    </row>
    <row r="75" spans="1:42" s="121" customFormat="1" x14ac:dyDescent="0.25">
      <c r="A75" s="140" cm="1">
        <f t="array" ref="A75:AP75">IF(A74&lt;EDATE(DATE4,-12),INDEX(INDICES,MATCH(EDATE(A74,1),'INDICES PRIX'!A:A,0),),"")</f>
        <v>44287</v>
      </c>
      <c r="B75" s="141">
        <v>107.8</v>
      </c>
      <c r="C75" s="141">
        <v>123</v>
      </c>
      <c r="D75" s="141">
        <v>123.6</v>
      </c>
      <c r="E75" s="141">
        <v>117.44998559216218</v>
      </c>
      <c r="F75" s="141">
        <v>117.92</v>
      </c>
      <c r="G75" s="141">
        <v>103.5</v>
      </c>
      <c r="H75" s="141">
        <v>109.5</v>
      </c>
      <c r="I75" s="141">
        <v>130.69999999999999</v>
      </c>
      <c r="J75" s="141">
        <v>91.3</v>
      </c>
      <c r="K75" s="141">
        <v>97.252541983489749</v>
      </c>
      <c r="L75" s="141">
        <v>104.9</v>
      </c>
      <c r="M75" s="141">
        <v>122.9</v>
      </c>
      <c r="N75" s="141">
        <v>106.4</v>
      </c>
      <c r="O75" s="141">
        <v>149.4</v>
      </c>
      <c r="P75" s="141">
        <v>104.2</v>
      </c>
      <c r="Q75" s="141">
        <v>108.1</v>
      </c>
      <c r="R75" s="141">
        <v>103.6</v>
      </c>
      <c r="S75" s="141">
        <v>119.5</v>
      </c>
      <c r="T75" s="141">
        <v>145.80000000000001</v>
      </c>
      <c r="U75" s="141">
        <v>157.80000000000001</v>
      </c>
      <c r="V75" s="141">
        <v>109.7</v>
      </c>
      <c r="W75" s="141">
        <v>101.6</v>
      </c>
      <c r="X75" s="141">
        <v>97.5</v>
      </c>
      <c r="Y75" s="141">
        <v>103.4</v>
      </c>
      <c r="Z75" s="141">
        <v>107.35887096774194</v>
      </c>
      <c r="AA75" s="141">
        <v>108.4</v>
      </c>
      <c r="AB75" s="141">
        <v>134.69999999999999</v>
      </c>
      <c r="AC75" s="141">
        <v>112.9</v>
      </c>
      <c r="AD75" s="141">
        <v>104.7</v>
      </c>
      <c r="AE75" s="141">
        <v>108.4</v>
      </c>
      <c r="AF75" s="141">
        <v>104.8</v>
      </c>
      <c r="AG75" s="141">
        <v>105.3</v>
      </c>
      <c r="AH75" s="141">
        <v>95.6</v>
      </c>
      <c r="AI75" s="141">
        <v>105.5</v>
      </c>
      <c r="AJ75" s="141">
        <v>109.3</v>
      </c>
      <c r="AK75" s="141">
        <v>126.1</v>
      </c>
      <c r="AL75" s="141">
        <v>133.30000000000001</v>
      </c>
      <c r="AM75" s="141">
        <v>112.6</v>
      </c>
      <c r="AN75" s="141">
        <v>107.33</v>
      </c>
      <c r="AO75" s="141">
        <v>117.8</v>
      </c>
      <c r="AP75" s="142">
        <v>117.6</v>
      </c>
    </row>
    <row r="76" spans="1:42" s="121" customFormat="1" x14ac:dyDescent="0.25">
      <c r="A76" s="140" cm="1">
        <f t="array" ref="A76:AP76">IF(A75&lt;EDATE(DATE4,-12),INDEX(INDICES,MATCH(EDATE(A75,1),'INDICES PRIX'!A:A,0),),"")</f>
        <v>44317</v>
      </c>
      <c r="B76" s="141">
        <v>107.2</v>
      </c>
      <c r="C76" s="141">
        <v>122.7</v>
      </c>
      <c r="D76" s="141">
        <v>123.3</v>
      </c>
      <c r="E76" s="141">
        <v>121.36177120353477</v>
      </c>
      <c r="F76" s="141">
        <v>119.24</v>
      </c>
      <c r="G76" s="141">
        <v>104.4</v>
      </c>
      <c r="H76" s="141">
        <v>109.5</v>
      </c>
      <c r="I76" s="141">
        <v>119.4</v>
      </c>
      <c r="J76" s="141">
        <v>107.7</v>
      </c>
      <c r="K76" s="141">
        <v>96.963473724732353</v>
      </c>
      <c r="L76" s="141">
        <v>107.6</v>
      </c>
      <c r="M76" s="141">
        <v>123.5</v>
      </c>
      <c r="N76" s="141">
        <v>106</v>
      </c>
      <c r="O76" s="141">
        <v>153.5</v>
      </c>
      <c r="P76" s="141">
        <v>104.1</v>
      </c>
      <c r="Q76" s="141">
        <v>111.7</v>
      </c>
      <c r="R76" s="141">
        <v>103.4</v>
      </c>
      <c r="S76" s="141">
        <v>120.9</v>
      </c>
      <c r="T76" s="141">
        <v>147.9</v>
      </c>
      <c r="U76" s="141">
        <v>156.1</v>
      </c>
      <c r="V76" s="141">
        <v>108.6</v>
      </c>
      <c r="W76" s="141">
        <v>101.3</v>
      </c>
      <c r="X76" s="141">
        <v>98.2</v>
      </c>
      <c r="Y76" s="141">
        <v>105.2</v>
      </c>
      <c r="Z76" s="141">
        <v>109.97983870967741</v>
      </c>
      <c r="AA76" s="141">
        <v>108.1</v>
      </c>
      <c r="AB76" s="141">
        <v>139.30000000000001</v>
      </c>
      <c r="AC76" s="141">
        <v>113.4</v>
      </c>
      <c r="AD76" s="141">
        <v>105.1</v>
      </c>
      <c r="AE76" s="141">
        <v>111.4</v>
      </c>
      <c r="AF76" s="141">
        <v>104.5</v>
      </c>
      <c r="AG76" s="141">
        <v>105.3</v>
      </c>
      <c r="AH76" s="141">
        <v>97.5</v>
      </c>
      <c r="AI76" s="141">
        <v>103.3</v>
      </c>
      <c r="AJ76" s="141">
        <v>111.3</v>
      </c>
      <c r="AK76" s="141">
        <v>127.8</v>
      </c>
      <c r="AL76" s="141">
        <v>137.6</v>
      </c>
      <c r="AM76" s="141">
        <v>113.4</v>
      </c>
      <c r="AN76" s="141">
        <v>107.21</v>
      </c>
      <c r="AO76" s="141">
        <v>117.9</v>
      </c>
      <c r="AP76" s="142">
        <v>119.1</v>
      </c>
    </row>
    <row r="77" spans="1:42" s="121" customFormat="1" x14ac:dyDescent="0.25">
      <c r="A77" s="140" cm="1">
        <f t="array" ref="A77:AP77">IF(A76&lt;EDATE(DATE4,-12),INDEX(INDICES,MATCH(EDATE(A76,1),'INDICES PRIX'!A:A,0),),"")</f>
        <v>44348</v>
      </c>
      <c r="B77" s="141">
        <v>107.8</v>
      </c>
      <c r="C77" s="141">
        <v>122.5</v>
      </c>
      <c r="D77" s="141">
        <v>123</v>
      </c>
      <c r="E77" s="141">
        <v>124.19919316107966</v>
      </c>
      <c r="F77" s="141">
        <v>121.32</v>
      </c>
      <c r="G77" s="141">
        <v>105</v>
      </c>
      <c r="H77" s="141">
        <v>110.6</v>
      </c>
      <c r="I77" s="141">
        <v>111</v>
      </c>
      <c r="J77" s="141">
        <v>129.69999999999999</v>
      </c>
      <c r="K77" s="141">
        <v>100.23097743532924</v>
      </c>
      <c r="L77" s="141">
        <v>115.2</v>
      </c>
      <c r="M77" s="141">
        <v>123.9</v>
      </c>
      <c r="N77" s="141">
        <v>105.6</v>
      </c>
      <c r="O77" s="141">
        <v>167.7</v>
      </c>
      <c r="P77" s="141">
        <v>104.1</v>
      </c>
      <c r="Q77" s="141">
        <v>116.7</v>
      </c>
      <c r="R77" s="141">
        <v>103.9</v>
      </c>
      <c r="S77" s="141">
        <v>122.5</v>
      </c>
      <c r="T77" s="141">
        <v>161.4</v>
      </c>
      <c r="U77" s="141">
        <v>156.6</v>
      </c>
      <c r="V77" s="141">
        <v>106.8</v>
      </c>
      <c r="W77" s="141">
        <v>101.1</v>
      </c>
      <c r="X77" s="141">
        <v>99.3</v>
      </c>
      <c r="Y77" s="141">
        <v>104.4</v>
      </c>
      <c r="Z77" s="141">
        <v>110.98790322580645</v>
      </c>
      <c r="AA77" s="141">
        <v>109.3</v>
      </c>
      <c r="AB77" s="141">
        <v>137.19999999999999</v>
      </c>
      <c r="AC77" s="141">
        <v>114.2</v>
      </c>
      <c r="AD77" s="141">
        <v>104.8</v>
      </c>
      <c r="AE77" s="141">
        <v>116.4</v>
      </c>
      <c r="AF77" s="141">
        <v>104.7</v>
      </c>
      <c r="AG77" s="141">
        <v>105.5</v>
      </c>
      <c r="AH77" s="141">
        <v>96.8</v>
      </c>
      <c r="AI77" s="141">
        <v>102.4</v>
      </c>
      <c r="AJ77" s="141">
        <v>113.3</v>
      </c>
      <c r="AK77" s="141">
        <v>136.9</v>
      </c>
      <c r="AL77" s="141">
        <v>144.6</v>
      </c>
      <c r="AM77" s="141">
        <v>115.2</v>
      </c>
      <c r="AN77" s="141">
        <v>108.37</v>
      </c>
      <c r="AO77" s="141">
        <v>118.1</v>
      </c>
      <c r="AP77" s="142">
        <v>122.4</v>
      </c>
    </row>
    <row r="78" spans="1:42" s="121" customFormat="1" x14ac:dyDescent="0.25">
      <c r="A78" s="140" cm="1">
        <f t="array" ref="A78:AP78">IF(A77&lt;EDATE(DATE4,-12),INDEX(INDICES,MATCH(EDATE(A77,1),'INDICES PRIX'!A:A,0),),"")</f>
        <v>44378</v>
      </c>
      <c r="B78" s="141">
        <v>108.3</v>
      </c>
      <c r="C78" s="141">
        <v>122.5</v>
      </c>
      <c r="D78" s="141">
        <v>123.1</v>
      </c>
      <c r="E78" s="141">
        <v>126.7198155796754</v>
      </c>
      <c r="F78" s="141">
        <v>123.71</v>
      </c>
      <c r="G78" s="141">
        <v>106.6</v>
      </c>
      <c r="H78" s="141">
        <v>110.6</v>
      </c>
      <c r="I78" s="141">
        <v>111.9</v>
      </c>
      <c r="J78" s="141">
        <v>153.9</v>
      </c>
      <c r="K78" s="141">
        <v>104.68228449131354</v>
      </c>
      <c r="L78" s="141">
        <v>120.6</v>
      </c>
      <c r="M78" s="141">
        <v>136.6</v>
      </c>
      <c r="N78" s="141">
        <v>106.7</v>
      </c>
      <c r="O78" s="141">
        <v>185.7</v>
      </c>
      <c r="P78" s="141">
        <v>104.1</v>
      </c>
      <c r="Q78" s="141">
        <v>118.8</v>
      </c>
      <c r="R78" s="141">
        <v>104.1</v>
      </c>
      <c r="S78" s="141">
        <v>124.3</v>
      </c>
      <c r="T78" s="141">
        <v>179.7</v>
      </c>
      <c r="U78" s="141">
        <v>165.2</v>
      </c>
      <c r="V78" s="141">
        <v>109</v>
      </c>
      <c r="W78" s="141">
        <v>101.8</v>
      </c>
      <c r="X78" s="141">
        <v>100.8</v>
      </c>
      <c r="Y78" s="141">
        <v>104.4</v>
      </c>
      <c r="Z78" s="141">
        <v>112.29838709677421</v>
      </c>
      <c r="AA78" s="141">
        <v>109.5</v>
      </c>
      <c r="AB78" s="141">
        <v>137.80000000000001</v>
      </c>
      <c r="AC78" s="141">
        <v>115.3</v>
      </c>
      <c r="AD78" s="141">
        <v>104.9</v>
      </c>
      <c r="AE78" s="141">
        <v>120.2</v>
      </c>
      <c r="AF78" s="141">
        <v>105.6</v>
      </c>
      <c r="AG78" s="141">
        <v>106.3</v>
      </c>
      <c r="AH78" s="141">
        <v>97.2</v>
      </c>
      <c r="AI78" s="141">
        <v>101.9</v>
      </c>
      <c r="AJ78" s="141">
        <v>114.1</v>
      </c>
      <c r="AK78" s="141">
        <v>143.6</v>
      </c>
      <c r="AL78" s="141">
        <v>168.9</v>
      </c>
      <c r="AM78" s="141">
        <v>117.8</v>
      </c>
      <c r="AN78" s="141">
        <v>110.94</v>
      </c>
      <c r="AO78" s="141">
        <v>118.1</v>
      </c>
      <c r="AP78" s="142">
        <v>123.2</v>
      </c>
    </row>
    <row r="79" spans="1:42" s="121" customFormat="1" x14ac:dyDescent="0.25">
      <c r="A79" s="140" cm="1">
        <f t="array" ref="A79:AP79">IF(A78&lt;EDATE(DATE4,-12),INDEX(INDICES,MATCH(EDATE(A78,1),'INDICES PRIX'!A:A,0),),"")</f>
        <v>44409</v>
      </c>
      <c r="B79" s="141">
        <v>108.2</v>
      </c>
      <c r="C79" s="141">
        <v>122.6</v>
      </c>
      <c r="D79" s="141">
        <v>123.1</v>
      </c>
      <c r="E79" s="141">
        <v>125.14959177792723</v>
      </c>
      <c r="F79" s="141">
        <v>122.96</v>
      </c>
      <c r="G79" s="141">
        <v>106.7</v>
      </c>
      <c r="H79" s="141">
        <v>110.6</v>
      </c>
      <c r="I79" s="141">
        <v>111.4</v>
      </c>
      <c r="J79" s="141">
        <v>190.4</v>
      </c>
      <c r="K79" s="141">
        <v>103.58316482349619</v>
      </c>
      <c r="L79" s="141">
        <v>122.3</v>
      </c>
      <c r="M79" s="141">
        <v>136.80000000000001</v>
      </c>
      <c r="N79" s="141">
        <v>108.3</v>
      </c>
      <c r="O79" s="141">
        <v>191.7</v>
      </c>
      <c r="P79" s="141">
        <v>104.9</v>
      </c>
      <c r="Q79" s="141">
        <v>121.1</v>
      </c>
      <c r="R79" s="141">
        <v>105.1</v>
      </c>
      <c r="S79" s="141">
        <v>129.69999999999999</v>
      </c>
      <c r="T79" s="141">
        <v>185.8</v>
      </c>
      <c r="U79" s="141">
        <v>167.9</v>
      </c>
      <c r="V79" s="141">
        <v>109.5</v>
      </c>
      <c r="W79" s="141">
        <v>101</v>
      </c>
      <c r="X79" s="141">
        <v>101.4</v>
      </c>
      <c r="Y79" s="141">
        <v>105.5</v>
      </c>
      <c r="Z79" s="141">
        <v>111.69354838709677</v>
      </c>
      <c r="AA79" s="141">
        <v>110.1</v>
      </c>
      <c r="AB79" s="141">
        <v>136.4</v>
      </c>
      <c r="AC79" s="141">
        <v>114.2</v>
      </c>
      <c r="AD79" s="141">
        <v>105.1</v>
      </c>
      <c r="AE79" s="141">
        <v>122.4</v>
      </c>
      <c r="AF79" s="141">
        <v>106.1</v>
      </c>
      <c r="AG79" s="141">
        <v>107</v>
      </c>
      <c r="AH79" s="141">
        <v>95.2</v>
      </c>
      <c r="AI79" s="141">
        <v>103.2</v>
      </c>
      <c r="AJ79" s="141">
        <v>120.7</v>
      </c>
      <c r="AK79" s="141">
        <v>146.9</v>
      </c>
      <c r="AL79" s="141">
        <v>171.2</v>
      </c>
      <c r="AM79" s="141">
        <v>120.1</v>
      </c>
      <c r="AN79" s="141">
        <v>113.93</v>
      </c>
      <c r="AO79" s="141">
        <v>118.3</v>
      </c>
      <c r="AP79" s="142">
        <v>124.3</v>
      </c>
    </row>
    <row r="80" spans="1:42" s="121" customFormat="1" x14ac:dyDescent="0.25">
      <c r="A80" s="140" cm="1">
        <f t="array" ref="A80:AP80">IF(A79&lt;EDATE(DATE4,-12),INDEX(INDICES,MATCH(EDATE(A79,1),'INDICES PRIX'!A:A,0),),"")</f>
        <v>44440</v>
      </c>
      <c r="B80" s="141">
        <v>108.6</v>
      </c>
      <c r="C80" s="141">
        <v>122.7</v>
      </c>
      <c r="D80" s="141">
        <v>123.1</v>
      </c>
      <c r="E80" s="141">
        <v>129.77761982518496</v>
      </c>
      <c r="F80" s="141">
        <v>124.37</v>
      </c>
      <c r="G80" s="141">
        <v>105.4</v>
      </c>
      <c r="H80" s="141">
        <v>110.5</v>
      </c>
      <c r="I80" s="141">
        <v>111.5</v>
      </c>
      <c r="J80" s="141">
        <v>249.5</v>
      </c>
      <c r="K80" s="141">
        <v>105.88777057859708</v>
      </c>
      <c r="L80" s="141">
        <v>123.4</v>
      </c>
      <c r="M80" s="141">
        <v>137.30000000000001</v>
      </c>
      <c r="N80" s="141">
        <v>105.5</v>
      </c>
      <c r="O80" s="141">
        <v>196.7</v>
      </c>
      <c r="P80" s="141">
        <v>104.6</v>
      </c>
      <c r="Q80" s="141">
        <v>120.7</v>
      </c>
      <c r="R80" s="141">
        <v>106</v>
      </c>
      <c r="S80" s="141">
        <v>134.1</v>
      </c>
      <c r="T80" s="141">
        <v>195.4</v>
      </c>
      <c r="U80" s="141">
        <v>173.6</v>
      </c>
      <c r="V80" s="141">
        <v>110</v>
      </c>
      <c r="W80" s="141">
        <v>103.2</v>
      </c>
      <c r="X80" s="141">
        <v>103.6</v>
      </c>
      <c r="Y80" s="141">
        <v>105.3</v>
      </c>
      <c r="Z80" s="141">
        <v>113.20564516129032</v>
      </c>
      <c r="AA80" s="141">
        <v>110.7</v>
      </c>
      <c r="AB80" s="141">
        <v>136.80000000000001</v>
      </c>
      <c r="AC80" s="141">
        <v>117.8</v>
      </c>
      <c r="AD80" s="141">
        <v>105.9</v>
      </c>
      <c r="AE80" s="141">
        <v>124</v>
      </c>
      <c r="AF80" s="141">
        <v>106.3</v>
      </c>
      <c r="AG80" s="141">
        <v>106.8</v>
      </c>
      <c r="AH80" s="141">
        <v>96.5</v>
      </c>
      <c r="AI80" s="141">
        <v>102.4</v>
      </c>
      <c r="AJ80" s="141">
        <v>118.7</v>
      </c>
      <c r="AK80" s="141">
        <v>150</v>
      </c>
      <c r="AL80" s="141">
        <v>179.6</v>
      </c>
      <c r="AM80" s="141">
        <v>121.4</v>
      </c>
      <c r="AN80" s="141">
        <v>110.01</v>
      </c>
      <c r="AO80" s="141">
        <v>118.2</v>
      </c>
      <c r="AP80" s="142">
        <v>123.4</v>
      </c>
    </row>
    <row r="81" spans="1:42" s="121" customFormat="1" x14ac:dyDescent="0.25">
      <c r="A81" s="140" t="str" cm="1">
        <f t="array" ref="A81">IF(A80&lt;EDATE(DATE4,-12),INDEX(INDICES,MATCH(EDATE(A80,1),'INDICES PRIX'!A:A,0),),"")</f>
        <v/>
      </c>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2"/>
    </row>
    <row r="82" spans="1:42" s="121" customFormat="1" x14ac:dyDescent="0.25">
      <c r="A82" s="140" t="str" cm="1">
        <f t="array" ref="A82">IF(A81&lt;EDATE(DATE4,-12),INDEX(INDICES,MATCH(EDATE(A81,1),'INDICES PRIX'!A:A,0),),"")</f>
        <v/>
      </c>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141"/>
      <c r="AB82" s="141"/>
      <c r="AC82" s="141"/>
      <c r="AD82" s="141"/>
      <c r="AE82" s="141"/>
      <c r="AF82" s="141"/>
      <c r="AG82" s="141"/>
      <c r="AH82" s="141"/>
      <c r="AI82" s="141"/>
      <c r="AJ82" s="141"/>
      <c r="AK82" s="141"/>
      <c r="AL82" s="141"/>
      <c r="AM82" s="141"/>
      <c r="AN82" s="141"/>
      <c r="AO82" s="141"/>
      <c r="AP82" s="142"/>
    </row>
    <row r="83" spans="1:42" s="121" customFormat="1" x14ac:dyDescent="0.25">
      <c r="A83" s="140" t="str" cm="1">
        <f t="array" ref="A83">IF(A82&lt;EDATE(DATE4,-12),INDEX(INDICES,MATCH(EDATE(A82,1),'INDICES PRIX'!A:A,0),),"")</f>
        <v/>
      </c>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2"/>
    </row>
    <row r="84" spans="1:42" s="121" customFormat="1" x14ac:dyDescent="0.25">
      <c r="A84" s="143" t="str" cm="1">
        <f t="array" ref="A84">IF(A83&lt;EDATE(DATE4,-12),INDEX(INDICES,MATCH(EDATE(A83,1),'INDICES PRIX'!A:A,0),),"")</f>
        <v/>
      </c>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5"/>
    </row>
    <row r="85" spans="1:42" s="121" customFormat="1" x14ac:dyDescent="0.25">
      <c r="A85" s="136" t="s">
        <v>219</v>
      </c>
      <c r="B85" s="121">
        <f>SUM(B72:B84)</f>
        <v>964.5</v>
      </c>
      <c r="C85" s="121">
        <f>SUM(C72:C84)</f>
        <v>1106</v>
      </c>
      <c r="D85" s="121">
        <f t="shared" ref="D85:AP85" si="4">SUM(D72:D84)</f>
        <v>1110.4000000000001</v>
      </c>
      <c r="E85" s="121">
        <f t="shared" si="4"/>
        <v>1093.3854000576316</v>
      </c>
      <c r="F85" s="121">
        <f t="shared" si="4"/>
        <v>1075.3899999999999</v>
      </c>
      <c r="G85" s="121">
        <f t="shared" si="4"/>
        <v>941.9</v>
      </c>
      <c r="H85" s="121">
        <f t="shared" si="4"/>
        <v>988.40000000000009</v>
      </c>
      <c r="I85" s="121">
        <f t="shared" si="4"/>
        <v>1103</v>
      </c>
      <c r="J85" s="121">
        <f t="shared" si="4"/>
        <v>1192.3</v>
      </c>
      <c r="K85" s="121">
        <f t="shared" si="4"/>
        <v>892.2088671215048</v>
      </c>
      <c r="L85" s="121">
        <f t="shared" si="4"/>
        <v>994.6</v>
      </c>
      <c r="M85" s="121">
        <f t="shared" si="4"/>
        <v>1125</v>
      </c>
      <c r="N85" s="121">
        <f t="shared" si="4"/>
        <v>956.4</v>
      </c>
      <c r="O85" s="121">
        <f t="shared" si="4"/>
        <v>1459.3000000000002</v>
      </c>
      <c r="P85" s="121">
        <f t="shared" si="4"/>
        <v>939.1</v>
      </c>
      <c r="Q85" s="121">
        <f t="shared" si="4"/>
        <v>994.00000000000011</v>
      </c>
      <c r="R85" s="121">
        <f t="shared" si="4"/>
        <v>942</v>
      </c>
      <c r="S85" s="121">
        <f t="shared" si="4"/>
        <v>1101.2999999999997</v>
      </c>
      <c r="T85" s="121">
        <f t="shared" si="4"/>
        <v>1413.3</v>
      </c>
      <c r="U85" s="121">
        <f t="shared" si="4"/>
        <v>1407.8000000000002</v>
      </c>
      <c r="V85" s="121">
        <f t="shared" si="4"/>
        <v>976.9</v>
      </c>
      <c r="W85" s="121">
        <f t="shared" si="4"/>
        <v>914</v>
      </c>
      <c r="X85" s="121">
        <f t="shared" si="4"/>
        <v>884.9</v>
      </c>
      <c r="Y85" s="121">
        <f t="shared" si="4"/>
        <v>936.49999999999989</v>
      </c>
      <c r="Z85" s="121">
        <f t="shared" si="4"/>
        <v>983.56854838709694</v>
      </c>
      <c r="AA85" s="121">
        <f t="shared" si="4"/>
        <v>977.2</v>
      </c>
      <c r="AB85" s="121">
        <f t="shared" si="4"/>
        <v>1151.2</v>
      </c>
      <c r="AC85" s="121">
        <f t="shared" si="4"/>
        <v>1017.6999999999999</v>
      </c>
      <c r="AD85" s="121">
        <f t="shared" si="4"/>
        <v>943.09999999999991</v>
      </c>
      <c r="AE85" s="121">
        <f t="shared" si="4"/>
        <v>1007.1999999999999</v>
      </c>
      <c r="AF85" s="121">
        <f t="shared" si="4"/>
        <v>946</v>
      </c>
      <c r="AG85" s="121">
        <f t="shared" si="4"/>
        <v>952.3</v>
      </c>
      <c r="AH85" s="121">
        <f t="shared" si="4"/>
        <v>873.50000000000011</v>
      </c>
      <c r="AI85" s="121">
        <f t="shared" si="4"/>
        <v>934.19999999999993</v>
      </c>
      <c r="AJ85" s="121">
        <f t="shared" si="4"/>
        <v>1016.0000000000001</v>
      </c>
      <c r="AK85" s="121">
        <f t="shared" si="4"/>
        <v>1192.5999999999999</v>
      </c>
      <c r="AL85" s="121">
        <f t="shared" si="4"/>
        <v>1272</v>
      </c>
      <c r="AM85" s="121">
        <f t="shared" si="4"/>
        <v>1033.1000000000001</v>
      </c>
      <c r="AN85" s="121">
        <f t="shared" si="4"/>
        <v>979.96</v>
      </c>
      <c r="AO85" s="121">
        <f t="shared" si="4"/>
        <v>1060.5999999999999</v>
      </c>
      <c r="AP85" s="121">
        <f t="shared" si="4"/>
        <v>1070.7</v>
      </c>
    </row>
    <row r="86" spans="1:42" s="121" customFormat="1" x14ac:dyDescent="0.25">
      <c r="A86" s="136"/>
    </row>
    <row r="87" spans="1:42" s="121" customFormat="1" x14ac:dyDescent="0.25">
      <c r="A87" s="136"/>
      <c r="B87" s="252" t="str">
        <f>"CUMULS EN N-2 ("&amp;TEXT(EDATE(DATE4,-24),"aaaa")&amp;")"</f>
        <v>CUMULS EN N-2 (2020)</v>
      </c>
      <c r="C87" s="252"/>
      <c r="D87" s="252"/>
    </row>
    <row r="88" spans="1:42" s="121" customFormat="1" x14ac:dyDescent="0.25">
      <c r="A88" s="138" cm="1">
        <f t="array" ref="A88:AP88">IF(DATE(YEAR(EDATE(DATE4,-24)),1,1)&lt;DATE4,INDEX(INDICES,MATCH(DATE(YEAR(EDATE(DATE4,-24)),1,1),'INDICES PRIX'!A:A,0),),"")</f>
        <v>43831</v>
      </c>
      <c r="B88" s="55">
        <v>104.7</v>
      </c>
      <c r="C88" s="55">
        <v>123.7</v>
      </c>
      <c r="D88" s="55">
        <v>120.1</v>
      </c>
      <c r="E88" s="55">
        <v>128.96496013831526</v>
      </c>
      <c r="F88" s="55">
        <v>127.51</v>
      </c>
      <c r="G88" s="55">
        <v>103.4</v>
      </c>
      <c r="H88" s="55">
        <v>110.5</v>
      </c>
      <c r="I88" s="55">
        <v>129.69999999999999</v>
      </c>
      <c r="J88" s="55">
        <v>65.900000000000006</v>
      </c>
      <c r="K88" s="55">
        <v>96.41528576259725</v>
      </c>
      <c r="L88" s="55">
        <v>100.4</v>
      </c>
      <c r="M88" s="55">
        <v>107.1</v>
      </c>
      <c r="N88" s="55">
        <v>105.2</v>
      </c>
      <c r="O88" s="55">
        <v>112.6</v>
      </c>
      <c r="P88" s="55">
        <v>101.7</v>
      </c>
      <c r="Q88" s="55">
        <v>97.7</v>
      </c>
      <c r="R88" s="55">
        <v>103.4</v>
      </c>
      <c r="S88" s="55">
        <v>112.7</v>
      </c>
      <c r="T88" s="55">
        <v>110</v>
      </c>
      <c r="U88" s="55">
        <v>141.9</v>
      </c>
      <c r="V88" s="55">
        <v>101.8</v>
      </c>
      <c r="W88" s="55">
        <v>100.7</v>
      </c>
      <c r="X88" s="55">
        <v>94.2</v>
      </c>
      <c r="Y88" s="55">
        <v>101.6</v>
      </c>
      <c r="Z88" s="55">
        <v>104.33467741935483</v>
      </c>
      <c r="AA88" s="55">
        <v>106</v>
      </c>
      <c r="AB88" s="55">
        <v>96</v>
      </c>
      <c r="AC88" s="55">
        <v>106</v>
      </c>
      <c r="AD88" s="55">
        <v>102.5</v>
      </c>
      <c r="AE88" s="55">
        <v>96</v>
      </c>
      <c r="AF88" s="55">
        <v>104.2</v>
      </c>
      <c r="AG88" s="55">
        <v>103</v>
      </c>
      <c r="AH88" s="55">
        <v>96.4</v>
      </c>
      <c r="AI88" s="55">
        <v>107</v>
      </c>
      <c r="AJ88" s="55">
        <v>110.4</v>
      </c>
      <c r="AK88" s="55">
        <v>107.8</v>
      </c>
      <c r="AL88" s="55">
        <v>93.5</v>
      </c>
      <c r="AM88" s="55">
        <v>108.6</v>
      </c>
      <c r="AN88" s="55">
        <v>107.52</v>
      </c>
      <c r="AO88" s="55">
        <v>112.1</v>
      </c>
      <c r="AP88" s="8">
        <v>100.4</v>
      </c>
    </row>
    <row r="89" spans="1:42" s="121" customFormat="1" x14ac:dyDescent="0.25">
      <c r="A89" s="140" cm="1">
        <f t="array" ref="A89:AP89">IF(A88&lt;EDATE(DATE4,-24),INDEX(INDICES,MATCH(EDATE(A88,1),'INDICES PRIX'!A:A,0),),"")</f>
        <v>43862</v>
      </c>
      <c r="B89" s="141">
        <v>105.5</v>
      </c>
      <c r="C89" s="141">
        <v>123.5</v>
      </c>
      <c r="D89" s="141">
        <v>120.2</v>
      </c>
      <c r="E89" s="141">
        <v>120.56288540966285</v>
      </c>
      <c r="F89" s="141">
        <v>121.26</v>
      </c>
      <c r="G89" s="141">
        <v>103.9</v>
      </c>
      <c r="H89" s="141">
        <v>110.5</v>
      </c>
      <c r="I89" s="141">
        <v>131.69999999999999</v>
      </c>
      <c r="J89" s="141">
        <v>52.2</v>
      </c>
      <c r="K89" s="141">
        <v>93.878931349340561</v>
      </c>
      <c r="L89" s="141">
        <v>100.2</v>
      </c>
      <c r="M89" s="141">
        <v>106.9</v>
      </c>
      <c r="N89" s="141">
        <v>103.7</v>
      </c>
      <c r="O89" s="141">
        <v>113.5</v>
      </c>
      <c r="P89" s="141">
        <v>102.5</v>
      </c>
      <c r="Q89" s="141">
        <v>97.1</v>
      </c>
      <c r="R89" s="141">
        <v>103</v>
      </c>
      <c r="S89" s="141">
        <v>112.4</v>
      </c>
      <c r="T89" s="141">
        <v>111</v>
      </c>
      <c r="U89" s="141">
        <v>151.30000000000001</v>
      </c>
      <c r="V89" s="141">
        <v>105.1</v>
      </c>
      <c r="W89" s="141">
        <v>100.8</v>
      </c>
      <c r="X89" s="141">
        <v>93.7</v>
      </c>
      <c r="Y89" s="141">
        <v>102.2</v>
      </c>
      <c r="Z89" s="141">
        <v>105.14112903225806</v>
      </c>
      <c r="AA89" s="141">
        <v>105.7</v>
      </c>
      <c r="AB89" s="141">
        <v>97.1</v>
      </c>
      <c r="AC89" s="141">
        <v>105.2</v>
      </c>
      <c r="AD89" s="141">
        <v>103.3</v>
      </c>
      <c r="AE89" s="141">
        <v>96.2</v>
      </c>
      <c r="AF89" s="141">
        <v>104.3</v>
      </c>
      <c r="AG89" s="141">
        <v>103.1</v>
      </c>
      <c r="AH89" s="141">
        <v>96.6</v>
      </c>
      <c r="AI89" s="141">
        <v>107.2</v>
      </c>
      <c r="AJ89" s="141">
        <v>108.9</v>
      </c>
      <c r="AK89" s="141">
        <v>105.6</v>
      </c>
      <c r="AL89" s="141">
        <v>92.4</v>
      </c>
      <c r="AM89" s="141">
        <v>108.6</v>
      </c>
      <c r="AN89" s="141">
        <v>107.05</v>
      </c>
      <c r="AO89" s="141">
        <v>112.1</v>
      </c>
      <c r="AP89" s="142">
        <v>99.5</v>
      </c>
    </row>
    <row r="90" spans="1:42" s="121" customFormat="1" x14ac:dyDescent="0.25">
      <c r="A90" s="140" cm="1">
        <f t="array" ref="A90:AP90">IF(A89&lt;EDATE(DATE4,-24),INDEX(INDICES,MATCH(EDATE(A89,1),'INDICES PRIX'!A:A,0),),"")</f>
        <v>43891</v>
      </c>
      <c r="B90" s="141">
        <v>105.3</v>
      </c>
      <c r="C90" s="141">
        <v>123.3</v>
      </c>
      <c r="D90" s="141">
        <v>120.3</v>
      </c>
      <c r="E90" s="141">
        <v>103.85515320334262</v>
      </c>
      <c r="F90" s="141">
        <v>112.7</v>
      </c>
      <c r="G90" s="141">
        <v>103.2</v>
      </c>
      <c r="H90" s="141">
        <v>111.4</v>
      </c>
      <c r="I90" s="141">
        <v>129.1</v>
      </c>
      <c r="J90" s="141">
        <v>43.9</v>
      </c>
      <c r="K90" s="141">
        <v>67.568481569157939</v>
      </c>
      <c r="L90" s="141">
        <v>100.8</v>
      </c>
      <c r="M90" s="141">
        <v>107</v>
      </c>
      <c r="N90" s="141">
        <v>103.5</v>
      </c>
      <c r="O90" s="141">
        <v>112.3</v>
      </c>
      <c r="P90" s="141">
        <v>102.4</v>
      </c>
      <c r="Q90" s="141">
        <v>97.3</v>
      </c>
      <c r="R90" s="141">
        <v>104.4</v>
      </c>
      <c r="S90" s="141">
        <v>110.4</v>
      </c>
      <c r="T90" s="141">
        <v>110.5</v>
      </c>
      <c r="U90" s="141">
        <v>146.19999999999999</v>
      </c>
      <c r="V90" s="141">
        <v>104.3</v>
      </c>
      <c r="W90" s="141">
        <v>98.4</v>
      </c>
      <c r="X90" s="141">
        <v>94.6</v>
      </c>
      <c r="Y90" s="141">
        <v>102.5</v>
      </c>
      <c r="Z90" s="141">
        <v>104.63709677419355</v>
      </c>
      <c r="AA90" s="141">
        <v>105.6</v>
      </c>
      <c r="AB90" s="141">
        <v>95.9</v>
      </c>
      <c r="AC90" s="141">
        <v>106</v>
      </c>
      <c r="AD90" s="141">
        <v>103.4</v>
      </c>
      <c r="AE90" s="141">
        <v>96.1</v>
      </c>
      <c r="AF90" s="141">
        <v>103.7</v>
      </c>
      <c r="AG90" s="141">
        <v>102.3</v>
      </c>
      <c r="AH90" s="141">
        <v>96.7</v>
      </c>
      <c r="AI90" s="141">
        <v>107</v>
      </c>
      <c r="AJ90" s="141">
        <v>109.9</v>
      </c>
      <c r="AK90" s="141">
        <v>106.1</v>
      </c>
      <c r="AL90" s="141">
        <v>91.3</v>
      </c>
      <c r="AM90" s="141">
        <v>108.8</v>
      </c>
      <c r="AN90" s="141">
        <v>107.38</v>
      </c>
      <c r="AO90" s="141">
        <v>112.9</v>
      </c>
      <c r="AP90" s="142">
        <v>100</v>
      </c>
    </row>
    <row r="91" spans="1:42" s="121" customFormat="1" x14ac:dyDescent="0.25">
      <c r="A91" s="140" cm="1">
        <f t="array" ref="A91:AP91">IF(A90&lt;EDATE(DATE4,-24),INDEX(INDICES,MATCH(EDATE(A90,1),'INDICES PRIX'!A:A,0),),"")</f>
        <v>43922</v>
      </c>
      <c r="B91" s="141">
        <v>105.5</v>
      </c>
      <c r="C91" s="141">
        <v>123.6</v>
      </c>
      <c r="D91" s="141">
        <v>120.8</v>
      </c>
      <c r="E91" s="141">
        <v>92.243761406204982</v>
      </c>
      <c r="F91" s="141">
        <v>105.41</v>
      </c>
      <c r="G91" s="141">
        <v>102.7</v>
      </c>
      <c r="H91" s="141">
        <v>111.4</v>
      </c>
      <c r="I91" s="141">
        <v>124.2</v>
      </c>
      <c r="J91" s="141">
        <v>38.6</v>
      </c>
      <c r="K91" s="141">
        <v>50.96381467703754</v>
      </c>
      <c r="L91" s="141">
        <v>100.7</v>
      </c>
      <c r="M91" s="141">
        <v>106.4</v>
      </c>
      <c r="N91" s="141">
        <v>102.7</v>
      </c>
      <c r="O91" s="141">
        <v>112.1</v>
      </c>
      <c r="P91" s="141">
        <v>103.8</v>
      </c>
      <c r="Q91" s="141">
        <v>98.1</v>
      </c>
      <c r="R91" s="141">
        <v>101.8</v>
      </c>
      <c r="S91" s="141">
        <v>111.5</v>
      </c>
      <c r="T91" s="141">
        <v>110.4</v>
      </c>
      <c r="U91" s="141">
        <v>113.5</v>
      </c>
      <c r="V91" s="141">
        <v>104.8</v>
      </c>
      <c r="W91" s="141">
        <v>102.2</v>
      </c>
      <c r="X91" s="141">
        <v>93.5</v>
      </c>
      <c r="Y91" s="141">
        <v>104.1</v>
      </c>
      <c r="Z91" s="141">
        <v>103.125</v>
      </c>
      <c r="AA91" s="141">
        <v>105.5</v>
      </c>
      <c r="AB91" s="141">
        <v>90.4</v>
      </c>
      <c r="AC91" s="141">
        <v>105.5</v>
      </c>
      <c r="AD91" s="141">
        <v>103.6</v>
      </c>
      <c r="AE91" s="141">
        <v>95.6</v>
      </c>
      <c r="AF91" s="141">
        <v>102.8</v>
      </c>
      <c r="AG91" s="141">
        <v>102.2</v>
      </c>
      <c r="AH91" s="141">
        <v>97.1</v>
      </c>
      <c r="AI91" s="141">
        <v>106.8</v>
      </c>
      <c r="AJ91" s="141">
        <v>111.3</v>
      </c>
      <c r="AK91" s="141">
        <v>106.2</v>
      </c>
      <c r="AL91" s="141">
        <v>91.4</v>
      </c>
      <c r="AM91" s="141">
        <v>109.2</v>
      </c>
      <c r="AN91" s="141">
        <v>106.44</v>
      </c>
      <c r="AO91" s="141">
        <v>113.3</v>
      </c>
      <c r="AP91" s="142">
        <v>99.6</v>
      </c>
    </row>
    <row r="92" spans="1:42" s="121" customFormat="1" x14ac:dyDescent="0.25">
      <c r="A92" s="140" cm="1">
        <f t="array" ref="A92:AP92">IF(A91&lt;EDATE(DATE4,-24),INDEX(INDICES,MATCH(EDATE(A91,1),'INDICES PRIX'!A:A,0),),"")</f>
        <v>43952</v>
      </c>
      <c r="B92" s="141">
        <v>104.9</v>
      </c>
      <c r="C92" s="141">
        <v>123.8</v>
      </c>
      <c r="D92" s="141">
        <v>121.4</v>
      </c>
      <c r="E92" s="141">
        <v>92.932456056094523</v>
      </c>
      <c r="F92" s="141">
        <v>101.14</v>
      </c>
      <c r="G92" s="141">
        <v>103.1</v>
      </c>
      <c r="H92" s="141">
        <v>111.4</v>
      </c>
      <c r="I92" s="141">
        <v>113.8</v>
      </c>
      <c r="J92" s="141">
        <v>29.4</v>
      </c>
      <c r="K92" s="141">
        <v>55.393980385525879</v>
      </c>
      <c r="L92" s="141">
        <v>100.3</v>
      </c>
      <c r="M92" s="141">
        <v>106.5</v>
      </c>
      <c r="N92" s="141">
        <v>104.4</v>
      </c>
      <c r="O92" s="141">
        <v>111.3</v>
      </c>
      <c r="P92" s="141">
        <v>104.3</v>
      </c>
      <c r="Q92" s="141">
        <v>96</v>
      </c>
      <c r="R92" s="141">
        <v>102</v>
      </c>
      <c r="S92" s="141">
        <v>111.4</v>
      </c>
      <c r="T92" s="141">
        <v>109.1</v>
      </c>
      <c r="U92" s="141">
        <v>109.9</v>
      </c>
      <c r="V92" s="141">
        <v>104.5</v>
      </c>
      <c r="W92" s="141">
        <v>102</v>
      </c>
      <c r="X92" s="141">
        <v>94.3</v>
      </c>
      <c r="Y92" s="141">
        <v>103.5</v>
      </c>
      <c r="Z92" s="141">
        <v>103.72983870967742</v>
      </c>
      <c r="AA92" s="141">
        <v>105.8</v>
      </c>
      <c r="AB92" s="141">
        <v>84.5</v>
      </c>
      <c r="AC92" s="141">
        <v>106</v>
      </c>
      <c r="AD92" s="141">
        <v>103.9</v>
      </c>
      <c r="AE92" s="141">
        <v>95</v>
      </c>
      <c r="AF92" s="141">
        <v>102.9</v>
      </c>
      <c r="AG92" s="141">
        <v>102.4</v>
      </c>
      <c r="AH92" s="141">
        <v>96.1</v>
      </c>
      <c r="AI92" s="141">
        <v>107.1</v>
      </c>
      <c r="AJ92" s="141">
        <v>110.1</v>
      </c>
      <c r="AK92" s="141">
        <v>107.9</v>
      </c>
      <c r="AL92" s="141">
        <v>95.1</v>
      </c>
      <c r="AM92" s="141">
        <v>109.1</v>
      </c>
      <c r="AN92" s="141">
        <v>107.23</v>
      </c>
      <c r="AO92" s="141">
        <v>112.6</v>
      </c>
      <c r="AP92" s="142">
        <v>100.4</v>
      </c>
    </row>
    <row r="93" spans="1:42" s="121" customFormat="1" x14ac:dyDescent="0.25">
      <c r="A93" s="140" cm="1">
        <f t="array" ref="A93:AP93">IF(A92&lt;EDATE(DATE4,-24),INDEX(INDICES,MATCH(EDATE(A92,1),'INDICES PRIX'!A:A,0),),"")</f>
        <v>43983</v>
      </c>
      <c r="B93" s="141">
        <v>103</v>
      </c>
      <c r="C93" s="141">
        <v>124</v>
      </c>
      <c r="D93" s="141">
        <v>121.9</v>
      </c>
      <c r="E93" s="141">
        <v>98.758812794160036</v>
      </c>
      <c r="F93" s="141">
        <v>104.55</v>
      </c>
      <c r="G93" s="141">
        <v>104</v>
      </c>
      <c r="H93" s="141">
        <v>107.5</v>
      </c>
      <c r="I93" s="141">
        <v>107.3</v>
      </c>
      <c r="J93" s="141">
        <v>24.6</v>
      </c>
      <c r="K93" s="141">
        <v>74.737910043963481</v>
      </c>
      <c r="L93" s="141">
        <v>99.7</v>
      </c>
      <c r="M93" s="141">
        <v>106.5</v>
      </c>
      <c r="N93" s="141">
        <v>105.4</v>
      </c>
      <c r="O93" s="141">
        <v>109.7</v>
      </c>
      <c r="P93" s="141">
        <v>103.3</v>
      </c>
      <c r="Q93" s="141">
        <v>94.2</v>
      </c>
      <c r="R93" s="141">
        <v>102.5</v>
      </c>
      <c r="S93" s="141">
        <v>110.3</v>
      </c>
      <c r="T93" s="141">
        <v>108</v>
      </c>
      <c r="U93" s="141">
        <v>120.6</v>
      </c>
      <c r="V93" s="141">
        <v>105.4</v>
      </c>
      <c r="W93" s="141">
        <v>100.9</v>
      </c>
      <c r="X93" s="141">
        <v>95.3</v>
      </c>
      <c r="Y93" s="141">
        <v>103.9</v>
      </c>
      <c r="Z93" s="141">
        <v>103.83064516129032</v>
      </c>
      <c r="AA93" s="141">
        <v>106.6</v>
      </c>
      <c r="AB93" s="141">
        <v>86.1</v>
      </c>
      <c r="AC93" s="141">
        <v>104.9</v>
      </c>
      <c r="AD93" s="141">
        <v>104</v>
      </c>
      <c r="AE93" s="141">
        <v>92.8</v>
      </c>
      <c r="AF93" s="141">
        <v>103.1</v>
      </c>
      <c r="AG93" s="141">
        <v>102.9</v>
      </c>
      <c r="AH93" s="141">
        <v>98.1</v>
      </c>
      <c r="AI93" s="141">
        <v>106.6</v>
      </c>
      <c r="AJ93" s="141">
        <v>109.4</v>
      </c>
      <c r="AK93" s="141">
        <v>106.3</v>
      </c>
      <c r="AL93" s="141">
        <v>92.9</v>
      </c>
      <c r="AM93" s="141">
        <v>109.1</v>
      </c>
      <c r="AN93" s="141">
        <v>108.12</v>
      </c>
      <c r="AO93" s="141">
        <v>112.5</v>
      </c>
      <c r="AP93" s="142">
        <v>99.5</v>
      </c>
    </row>
    <row r="94" spans="1:42" s="121" customFormat="1" x14ac:dyDescent="0.25">
      <c r="A94" s="140" cm="1">
        <f t="array" ref="A94:AP94">IF(A93&lt;EDATE(DATE4,-24),INDEX(INDICES,MATCH(EDATE(A93,1),'INDICES PRIX'!A:A,0),),"")</f>
        <v>44013</v>
      </c>
      <c r="B94" s="141">
        <v>102.6</v>
      </c>
      <c r="C94" s="141">
        <v>123.8</v>
      </c>
      <c r="D94" s="141">
        <v>122.1</v>
      </c>
      <c r="E94" s="141">
        <v>100.37035827490156</v>
      </c>
      <c r="F94" s="141">
        <v>107.19</v>
      </c>
      <c r="G94" s="141">
        <v>104.6</v>
      </c>
      <c r="H94" s="141">
        <v>107.5</v>
      </c>
      <c r="I94" s="141">
        <v>106.2</v>
      </c>
      <c r="J94" s="141">
        <v>25.3</v>
      </c>
      <c r="K94" s="141">
        <v>76.962703249756942</v>
      </c>
      <c r="L94" s="141">
        <v>99.7</v>
      </c>
      <c r="M94" s="141">
        <v>106.9</v>
      </c>
      <c r="N94" s="141">
        <v>105.6</v>
      </c>
      <c r="O94" s="141">
        <v>108</v>
      </c>
      <c r="P94" s="141">
        <v>103.2</v>
      </c>
      <c r="Q94" s="141">
        <v>94.1</v>
      </c>
      <c r="R94" s="141">
        <v>102</v>
      </c>
      <c r="S94" s="141">
        <v>111.5</v>
      </c>
      <c r="T94" s="141">
        <v>106.8</v>
      </c>
      <c r="U94" s="141">
        <v>147.80000000000001</v>
      </c>
      <c r="V94" s="141">
        <v>105.7</v>
      </c>
      <c r="W94" s="141">
        <v>100.8</v>
      </c>
      <c r="X94" s="141">
        <v>93.7</v>
      </c>
      <c r="Y94" s="141">
        <v>103.9</v>
      </c>
      <c r="Z94" s="141">
        <v>103.72983870967742</v>
      </c>
      <c r="AA94" s="141">
        <v>106.6</v>
      </c>
      <c r="AB94" s="141">
        <v>89.7</v>
      </c>
      <c r="AC94" s="141">
        <v>104.9</v>
      </c>
      <c r="AD94" s="141">
        <v>103.6</v>
      </c>
      <c r="AE94" s="141">
        <v>93.5</v>
      </c>
      <c r="AF94" s="141">
        <v>103.3</v>
      </c>
      <c r="AG94" s="141">
        <v>103.5</v>
      </c>
      <c r="AH94" s="141">
        <v>98.1</v>
      </c>
      <c r="AI94" s="141">
        <v>106.4</v>
      </c>
      <c r="AJ94" s="141">
        <v>111.5</v>
      </c>
      <c r="AK94" s="141">
        <v>104.6</v>
      </c>
      <c r="AL94" s="141">
        <v>91.6</v>
      </c>
      <c r="AM94" s="141">
        <v>109.5</v>
      </c>
      <c r="AN94" s="141">
        <v>110.6</v>
      </c>
      <c r="AO94" s="141">
        <v>112.7</v>
      </c>
      <c r="AP94" s="142">
        <v>98.3</v>
      </c>
    </row>
    <row r="95" spans="1:42" s="121" customFormat="1" x14ac:dyDescent="0.25">
      <c r="A95" s="140" cm="1">
        <f t="array" ref="A95:AP95">IF(A94&lt;EDATE(DATE4,-24),INDEX(INDICES,MATCH(EDATE(A94,1),'INDICES PRIX'!A:A,0),),"")</f>
        <v>44044</v>
      </c>
      <c r="B95" s="141">
        <v>102.8</v>
      </c>
      <c r="C95" s="141">
        <v>123.7</v>
      </c>
      <c r="D95" s="141">
        <v>122.4</v>
      </c>
      <c r="E95" s="141">
        <v>99.06183844011143</v>
      </c>
      <c r="F95" s="141">
        <v>106.73</v>
      </c>
      <c r="G95" s="141">
        <v>104.6</v>
      </c>
      <c r="H95" s="141">
        <v>107.5</v>
      </c>
      <c r="I95" s="141">
        <v>108.2</v>
      </c>
      <c r="J95" s="141">
        <v>29.7</v>
      </c>
      <c r="K95" s="141">
        <v>78.186081416283741</v>
      </c>
      <c r="L95" s="141">
        <v>100.8</v>
      </c>
      <c r="M95" s="141">
        <v>106.9</v>
      </c>
      <c r="N95" s="141">
        <v>105.4</v>
      </c>
      <c r="O95" s="141">
        <v>107.4</v>
      </c>
      <c r="P95" s="141">
        <v>103.1</v>
      </c>
      <c r="Q95" s="141">
        <v>95.9</v>
      </c>
      <c r="R95" s="141">
        <v>102.1</v>
      </c>
      <c r="S95" s="141">
        <v>110.7</v>
      </c>
      <c r="T95" s="141">
        <v>106.8</v>
      </c>
      <c r="U95" s="141">
        <v>146.19999999999999</v>
      </c>
      <c r="V95" s="141">
        <v>104.7</v>
      </c>
      <c r="W95" s="141">
        <v>100.6</v>
      </c>
      <c r="X95" s="141">
        <v>93.1</v>
      </c>
      <c r="Y95" s="141">
        <v>104.4</v>
      </c>
      <c r="Z95" s="141">
        <v>103.52822580645162</v>
      </c>
      <c r="AA95" s="141">
        <v>107</v>
      </c>
      <c r="AB95" s="141">
        <v>90.3</v>
      </c>
      <c r="AC95" s="141">
        <v>103.7</v>
      </c>
      <c r="AD95" s="141">
        <v>102.7</v>
      </c>
      <c r="AE95" s="141">
        <v>95.5</v>
      </c>
      <c r="AF95" s="141">
        <v>104.4</v>
      </c>
      <c r="AG95" s="141">
        <v>105.5</v>
      </c>
      <c r="AH95" s="141">
        <v>98.2</v>
      </c>
      <c r="AI95" s="141">
        <v>106</v>
      </c>
      <c r="AJ95" s="141">
        <v>111.6</v>
      </c>
      <c r="AK95" s="141">
        <v>104.4</v>
      </c>
      <c r="AL95" s="141">
        <v>88.5</v>
      </c>
      <c r="AM95" s="141">
        <v>109.4</v>
      </c>
      <c r="AN95" s="141">
        <v>113.33</v>
      </c>
      <c r="AO95" s="141">
        <v>110.5</v>
      </c>
      <c r="AP95" s="142">
        <v>97.7</v>
      </c>
    </row>
    <row r="96" spans="1:42" s="121" customFormat="1" x14ac:dyDescent="0.25">
      <c r="A96" s="140" cm="1">
        <f t="array" ref="A96:AP96">IF(A95&lt;EDATE(DATE4,-24),INDEX(INDICES,MATCH(EDATE(A95,1),'INDICES PRIX'!A:A,0),),"")</f>
        <v>44075</v>
      </c>
      <c r="B96" s="141">
        <v>104.4</v>
      </c>
      <c r="C96" s="141">
        <v>123.6</v>
      </c>
      <c r="D96" s="141">
        <v>122.6</v>
      </c>
      <c r="E96" s="141">
        <v>94.034367495917806</v>
      </c>
      <c r="F96" s="141">
        <v>104.23</v>
      </c>
      <c r="G96" s="141">
        <v>103</v>
      </c>
      <c r="H96" s="141">
        <v>108.8</v>
      </c>
      <c r="I96" s="141">
        <v>108.6</v>
      </c>
      <c r="J96" s="141">
        <v>43.7</v>
      </c>
      <c r="K96" s="141">
        <v>75.797826992740568</v>
      </c>
      <c r="L96" s="141">
        <v>97.3</v>
      </c>
      <c r="M96" s="141">
        <v>106.9</v>
      </c>
      <c r="N96" s="141">
        <v>106.5</v>
      </c>
      <c r="O96" s="141">
        <v>108.5</v>
      </c>
      <c r="P96" s="141">
        <v>103.1</v>
      </c>
      <c r="Q96" s="141">
        <v>95</v>
      </c>
      <c r="R96" s="141">
        <v>101.9</v>
      </c>
      <c r="S96" s="141">
        <v>111.4</v>
      </c>
      <c r="T96" s="141">
        <v>107</v>
      </c>
      <c r="U96" s="141">
        <v>142.6</v>
      </c>
      <c r="V96" s="141">
        <v>105</v>
      </c>
      <c r="W96" s="141">
        <v>100.4</v>
      </c>
      <c r="X96" s="141">
        <v>94.4</v>
      </c>
      <c r="Y96" s="141">
        <v>103.3</v>
      </c>
      <c r="Z96" s="141">
        <v>103.62903225806451</v>
      </c>
      <c r="AA96" s="141">
        <v>106.6</v>
      </c>
      <c r="AB96" s="141">
        <v>90.4</v>
      </c>
      <c r="AC96" s="141">
        <v>104.2</v>
      </c>
      <c r="AD96" s="141">
        <v>103.2</v>
      </c>
      <c r="AE96" s="141">
        <v>95.8</v>
      </c>
      <c r="AF96" s="141">
        <v>103.9</v>
      </c>
      <c r="AG96" s="141">
        <v>104.8</v>
      </c>
      <c r="AH96" s="141">
        <v>98.4</v>
      </c>
      <c r="AI96" s="141">
        <v>105.9</v>
      </c>
      <c r="AJ96" s="141">
        <v>113</v>
      </c>
      <c r="AK96" s="141">
        <v>104.3</v>
      </c>
      <c r="AL96" s="141">
        <v>90.7</v>
      </c>
      <c r="AM96" s="141">
        <v>109.7</v>
      </c>
      <c r="AN96" s="141">
        <v>108.06</v>
      </c>
      <c r="AO96" s="141">
        <v>111.1</v>
      </c>
      <c r="AP96" s="142">
        <v>101.1</v>
      </c>
    </row>
    <row r="97" spans="1:42" s="121" customFormat="1" x14ac:dyDescent="0.25">
      <c r="A97" s="140" t="str" cm="1">
        <f t="array" ref="A97">IF(A96&lt;EDATE(DATE4,-24),INDEX(INDICES,MATCH(EDATE(A96,1),'INDICES PRIX'!A:A,0),),"")</f>
        <v/>
      </c>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c r="AA97" s="141"/>
      <c r="AB97" s="141"/>
      <c r="AC97" s="141"/>
      <c r="AD97" s="141"/>
      <c r="AE97" s="141"/>
      <c r="AF97" s="141"/>
      <c r="AG97" s="141"/>
      <c r="AH97" s="141"/>
      <c r="AI97" s="141"/>
      <c r="AJ97" s="141"/>
      <c r="AK97" s="141"/>
      <c r="AL97" s="141"/>
      <c r="AM97" s="141"/>
      <c r="AN97" s="141"/>
      <c r="AO97" s="141"/>
      <c r="AP97" s="142"/>
    </row>
    <row r="98" spans="1:42" s="121" customFormat="1" x14ac:dyDescent="0.25">
      <c r="A98" s="140" t="str" cm="1">
        <f t="array" ref="A98">IF(A97&lt;EDATE(DATE4,-24),INDEX(INDICES,MATCH(EDATE(A97,1),'INDICES PRIX'!A:A,0),),"")</f>
        <v/>
      </c>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c r="AA98" s="141"/>
      <c r="AB98" s="141"/>
      <c r="AC98" s="141"/>
      <c r="AD98" s="141"/>
      <c r="AE98" s="141"/>
      <c r="AF98" s="141"/>
      <c r="AG98" s="141"/>
      <c r="AH98" s="141"/>
      <c r="AI98" s="141"/>
      <c r="AJ98" s="141"/>
      <c r="AK98" s="141"/>
      <c r="AL98" s="141"/>
      <c r="AM98" s="141"/>
      <c r="AN98" s="141"/>
      <c r="AO98" s="141"/>
      <c r="AP98" s="142"/>
    </row>
    <row r="99" spans="1:42" s="121" customFormat="1" x14ac:dyDescent="0.25">
      <c r="A99" s="140" t="str" cm="1">
        <f t="array" ref="A99">IF(A98&lt;EDATE(DATE4,-24),INDEX(INDICES,MATCH(EDATE(A98,1),'INDICES PRIX'!A:A,0),),"")</f>
        <v/>
      </c>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c r="AA99" s="141"/>
      <c r="AB99" s="141"/>
      <c r="AC99" s="141"/>
      <c r="AD99" s="141"/>
      <c r="AE99" s="141"/>
      <c r="AF99" s="141"/>
      <c r="AG99" s="141"/>
      <c r="AH99" s="141"/>
      <c r="AI99" s="141"/>
      <c r="AJ99" s="141"/>
      <c r="AK99" s="141"/>
      <c r="AL99" s="141"/>
      <c r="AM99" s="141"/>
      <c r="AN99" s="141"/>
      <c r="AO99" s="141"/>
      <c r="AP99" s="142"/>
    </row>
    <row r="100" spans="1:42" s="121" customFormat="1" x14ac:dyDescent="0.25">
      <c r="A100" s="143" t="str" cm="1">
        <f t="array" ref="A100">IF(A99&lt;EDATE(DATE4,-24),INDEX(INDICES,MATCH(EDATE(A99,1),'INDICES PRIX'!A:A,0),),"")</f>
        <v/>
      </c>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5"/>
    </row>
    <row r="101" spans="1:42" s="121" customFormat="1" x14ac:dyDescent="0.25">
      <c r="A101" s="136" t="s">
        <v>219</v>
      </c>
      <c r="B101" s="121">
        <f>SUM(B88:B100)</f>
        <v>938.69999999999993</v>
      </c>
      <c r="C101" s="121">
        <f>SUM(C88:C100)</f>
        <v>1113</v>
      </c>
      <c r="D101" s="121">
        <f t="shared" ref="D101:AP101" si="5">SUM(D88:D100)</f>
        <v>1091.8</v>
      </c>
      <c r="E101" s="121">
        <f t="shared" si="5"/>
        <v>930.78459321871105</v>
      </c>
      <c r="F101" s="121">
        <f t="shared" si="5"/>
        <v>990.72</v>
      </c>
      <c r="G101" s="121">
        <f t="shared" si="5"/>
        <v>932.5</v>
      </c>
      <c r="H101" s="121">
        <f t="shared" si="5"/>
        <v>986.49999999999989</v>
      </c>
      <c r="I101" s="121">
        <f t="shared" si="5"/>
        <v>1058.8</v>
      </c>
      <c r="J101" s="121">
        <f t="shared" si="5"/>
        <v>353.29999999999995</v>
      </c>
      <c r="K101" s="121">
        <f t="shared" si="5"/>
        <v>669.90501544640392</v>
      </c>
      <c r="L101" s="121">
        <f t="shared" si="5"/>
        <v>899.9</v>
      </c>
      <c r="M101" s="121">
        <f t="shared" si="5"/>
        <v>961.09999999999991</v>
      </c>
      <c r="N101" s="121">
        <f t="shared" si="5"/>
        <v>942.4</v>
      </c>
      <c r="O101" s="121">
        <f t="shared" si="5"/>
        <v>995.4</v>
      </c>
      <c r="P101" s="121">
        <f t="shared" si="5"/>
        <v>927.40000000000009</v>
      </c>
      <c r="Q101" s="121">
        <f t="shared" si="5"/>
        <v>865.40000000000009</v>
      </c>
      <c r="R101" s="121">
        <f t="shared" si="5"/>
        <v>923.1</v>
      </c>
      <c r="S101" s="121">
        <f t="shared" si="5"/>
        <v>1002.3</v>
      </c>
      <c r="T101" s="121">
        <f t="shared" si="5"/>
        <v>979.59999999999991</v>
      </c>
      <c r="U101" s="121">
        <f t="shared" si="5"/>
        <v>1220</v>
      </c>
      <c r="V101" s="121">
        <f t="shared" si="5"/>
        <v>941.30000000000007</v>
      </c>
      <c r="W101" s="121">
        <f t="shared" si="5"/>
        <v>906.8</v>
      </c>
      <c r="X101" s="121">
        <f t="shared" si="5"/>
        <v>846.80000000000007</v>
      </c>
      <c r="Y101" s="121">
        <f t="shared" si="5"/>
        <v>929.39999999999986</v>
      </c>
      <c r="Z101" s="121">
        <f t="shared" si="5"/>
        <v>935.6854838709678</v>
      </c>
      <c r="AA101" s="121">
        <f t="shared" si="5"/>
        <v>955.4</v>
      </c>
      <c r="AB101" s="121">
        <f t="shared" si="5"/>
        <v>820.4</v>
      </c>
      <c r="AC101" s="121">
        <f t="shared" si="5"/>
        <v>946.40000000000009</v>
      </c>
      <c r="AD101" s="121">
        <f t="shared" si="5"/>
        <v>930.20000000000016</v>
      </c>
      <c r="AE101" s="121">
        <f t="shared" si="5"/>
        <v>856.49999999999989</v>
      </c>
      <c r="AF101" s="121">
        <f t="shared" si="5"/>
        <v>932.59999999999991</v>
      </c>
      <c r="AG101" s="121">
        <f t="shared" si="5"/>
        <v>929.69999999999993</v>
      </c>
      <c r="AH101" s="121">
        <f t="shared" si="5"/>
        <v>875.7</v>
      </c>
      <c r="AI101" s="121">
        <f t="shared" si="5"/>
        <v>960</v>
      </c>
      <c r="AJ101" s="121">
        <f t="shared" si="5"/>
        <v>996.1</v>
      </c>
      <c r="AK101" s="121">
        <f t="shared" si="5"/>
        <v>953.19999999999993</v>
      </c>
      <c r="AL101" s="121">
        <f t="shared" si="5"/>
        <v>827.40000000000009</v>
      </c>
      <c r="AM101" s="121">
        <f t="shared" si="5"/>
        <v>982</v>
      </c>
      <c r="AN101" s="121">
        <f t="shared" si="5"/>
        <v>975.73</v>
      </c>
      <c r="AO101" s="121">
        <f t="shared" si="5"/>
        <v>1009.8000000000001</v>
      </c>
      <c r="AP101" s="121">
        <f t="shared" si="5"/>
        <v>896.5</v>
      </c>
    </row>
    <row r="102" spans="1:42" s="121" customFormat="1" x14ac:dyDescent="0.25">
      <c r="A102" s="136"/>
    </row>
    <row r="103" spans="1:42" s="121" customFormat="1" ht="18.75" x14ac:dyDescent="0.3">
      <c r="A103" s="136"/>
      <c r="B103" s="244" t="str">
        <f>"DEPUIS "&amp;UPPER(TEXT(DATE4,"mmmmmmmm"))</f>
        <v>DEPUIS SEPTEMBRE</v>
      </c>
      <c r="C103" s="244"/>
      <c r="D103" s="244"/>
      <c r="E103" s="244"/>
    </row>
    <row r="104" spans="1:42" s="121" customFormat="1" x14ac:dyDescent="0.25">
      <c r="A104" s="136"/>
      <c r="B104" s="252" t="str">
        <f>"CUMULS EN N ("&amp;TEXT(DATE4,"aaaa")&amp;")"</f>
        <v>CUMULS EN N (2022)</v>
      </c>
      <c r="C104" s="252"/>
      <c r="D104" s="252"/>
    </row>
    <row r="105" spans="1:42" s="121" customFormat="1" x14ac:dyDescent="0.25">
      <c r="A105" s="138" cm="1">
        <f t="array" ref="A105:AP105">INDEX(INDICES,MATCH(EDATE(DATE4,-11),'INDICES PRIX'!A:A,0),)</f>
        <v>44470</v>
      </c>
      <c r="B105" s="55">
        <v>109</v>
      </c>
      <c r="C105" s="55">
        <v>122.6</v>
      </c>
      <c r="D105" s="55">
        <v>123.1</v>
      </c>
      <c r="E105" s="55">
        <v>145.0804149457305</v>
      </c>
      <c r="F105" s="55">
        <v>132.38</v>
      </c>
      <c r="G105" s="55">
        <v>105.8</v>
      </c>
      <c r="H105" s="55">
        <v>110.5</v>
      </c>
      <c r="I105" s="55">
        <v>113.2</v>
      </c>
      <c r="J105" s="55">
        <v>354.2</v>
      </c>
      <c r="K105" s="55">
        <v>119.53812774342542</v>
      </c>
      <c r="L105" s="55">
        <v>123.8</v>
      </c>
      <c r="M105" s="55">
        <v>145.30000000000001</v>
      </c>
      <c r="N105" s="55">
        <v>106.4</v>
      </c>
      <c r="O105" s="55">
        <v>193</v>
      </c>
      <c r="P105" s="55">
        <v>103.5</v>
      </c>
      <c r="Q105" s="55">
        <v>121.2</v>
      </c>
      <c r="R105" s="55">
        <v>106.6</v>
      </c>
      <c r="S105" s="55">
        <v>136.80000000000001</v>
      </c>
      <c r="T105" s="55">
        <v>191.5</v>
      </c>
      <c r="U105" s="55">
        <v>175.9</v>
      </c>
      <c r="V105" s="55">
        <v>111.4</v>
      </c>
      <c r="W105" s="55">
        <v>103</v>
      </c>
      <c r="X105" s="55">
        <v>105.6</v>
      </c>
      <c r="Y105" s="55">
        <v>105.6</v>
      </c>
      <c r="Z105" s="55">
        <v>112.60080645161291</v>
      </c>
      <c r="AA105" s="55">
        <v>111.6</v>
      </c>
      <c r="AB105" s="55">
        <v>139.4</v>
      </c>
      <c r="AC105" s="55">
        <v>120.6</v>
      </c>
      <c r="AD105" s="55">
        <v>106.2</v>
      </c>
      <c r="AE105" s="55">
        <v>125</v>
      </c>
      <c r="AF105" s="55">
        <v>106.9</v>
      </c>
      <c r="AG105" s="55">
        <v>107.3</v>
      </c>
      <c r="AH105" s="55">
        <v>97</v>
      </c>
      <c r="AI105" s="55">
        <v>102.4</v>
      </c>
      <c r="AJ105" s="55">
        <v>121</v>
      </c>
      <c r="AK105" s="55">
        <v>150.69999999999999</v>
      </c>
      <c r="AL105" s="55">
        <v>186.8</v>
      </c>
      <c r="AM105" s="55">
        <v>122.2</v>
      </c>
      <c r="AN105" s="55">
        <v>109.17</v>
      </c>
      <c r="AO105" s="55">
        <v>118.3</v>
      </c>
      <c r="AP105" s="8">
        <v>115.5</v>
      </c>
    </row>
    <row r="106" spans="1:42" s="121" customFormat="1" x14ac:dyDescent="0.25">
      <c r="A106" s="140" cm="1">
        <f t="array" ref="A106:AP106">INDEX(INDICES,MATCH(EDATE(A105,1),'INDICES PRIX'!A:A,0),)</f>
        <v>44501</v>
      </c>
      <c r="B106" s="141">
        <v>109.1</v>
      </c>
      <c r="C106" s="141">
        <v>122.5</v>
      </c>
      <c r="D106" s="141">
        <v>123.1</v>
      </c>
      <c r="E106" s="141">
        <v>146.98121217942563</v>
      </c>
      <c r="F106" s="141">
        <v>133.69999999999999</v>
      </c>
      <c r="G106" s="141">
        <v>106.2</v>
      </c>
      <c r="H106" s="141">
        <v>110.5</v>
      </c>
      <c r="I106" s="141">
        <v>121</v>
      </c>
      <c r="J106" s="141">
        <v>440.2</v>
      </c>
      <c r="K106" s="141">
        <v>121.63000065959393</v>
      </c>
      <c r="L106" s="141">
        <v>124.5</v>
      </c>
      <c r="M106" s="141">
        <v>145.80000000000001</v>
      </c>
      <c r="N106" s="141">
        <v>107</v>
      </c>
      <c r="O106" s="141">
        <v>193.5</v>
      </c>
      <c r="P106" s="141">
        <v>103.7</v>
      </c>
      <c r="Q106" s="141">
        <v>124</v>
      </c>
      <c r="R106" s="141">
        <v>107.1</v>
      </c>
      <c r="S106" s="141">
        <v>136.80000000000001</v>
      </c>
      <c r="T106" s="141">
        <v>192.3</v>
      </c>
      <c r="U106" s="141">
        <v>187.9</v>
      </c>
      <c r="V106" s="141">
        <v>112.5</v>
      </c>
      <c r="W106" s="141">
        <v>102.8</v>
      </c>
      <c r="X106" s="141">
        <v>107.1</v>
      </c>
      <c r="Y106" s="141">
        <v>105.6</v>
      </c>
      <c r="Z106" s="141">
        <v>113.30645161290323</v>
      </c>
      <c r="AA106" s="141">
        <v>111.6</v>
      </c>
      <c r="AB106" s="141">
        <v>146.69999999999999</v>
      </c>
      <c r="AC106" s="141">
        <v>119.6</v>
      </c>
      <c r="AD106" s="141">
        <v>106.8</v>
      </c>
      <c r="AE106" s="141">
        <v>125.2</v>
      </c>
      <c r="AF106" s="141">
        <v>107.2</v>
      </c>
      <c r="AG106" s="141">
        <v>107.7</v>
      </c>
      <c r="AH106" s="141">
        <v>97.1</v>
      </c>
      <c r="AI106" s="141">
        <v>102.5</v>
      </c>
      <c r="AJ106" s="141">
        <v>125.6</v>
      </c>
      <c r="AK106" s="141">
        <v>150.5</v>
      </c>
      <c r="AL106" s="141">
        <v>184</v>
      </c>
      <c r="AM106" s="141">
        <v>122.8</v>
      </c>
      <c r="AN106" s="141">
        <v>109.06</v>
      </c>
      <c r="AO106" s="141">
        <v>118.3</v>
      </c>
      <c r="AP106" s="142">
        <v>117</v>
      </c>
    </row>
    <row r="107" spans="1:42" s="121" customFormat="1" x14ac:dyDescent="0.25">
      <c r="A107" s="140" cm="1">
        <f t="array" ref="A107:AP107">INDEX(INDICES,MATCH(EDATE(A106,1),'INDICES PRIX'!A:A,0),)</f>
        <v>44531</v>
      </c>
      <c r="B107" s="141">
        <v>109.4</v>
      </c>
      <c r="C107" s="141">
        <v>122.4</v>
      </c>
      <c r="D107" s="141">
        <v>123.2</v>
      </c>
      <c r="E107" s="141">
        <v>143.4</v>
      </c>
      <c r="F107" s="141">
        <v>131.08000000000001</v>
      </c>
      <c r="G107" s="141">
        <v>106.7</v>
      </c>
      <c r="H107" s="141">
        <v>111.4</v>
      </c>
      <c r="I107" s="141">
        <v>141.4</v>
      </c>
      <c r="J107" s="141">
        <v>453.8</v>
      </c>
      <c r="K107" s="141">
        <v>117.58807671987852</v>
      </c>
      <c r="L107" s="141">
        <v>124.2</v>
      </c>
      <c r="M107" s="141">
        <v>145.80000000000001</v>
      </c>
      <c r="N107" s="141">
        <v>106.9</v>
      </c>
      <c r="O107" s="141">
        <v>192.6</v>
      </c>
      <c r="P107" s="141">
        <v>103</v>
      </c>
      <c r="Q107" s="141">
        <v>122.8</v>
      </c>
      <c r="R107" s="141">
        <v>108.6</v>
      </c>
      <c r="S107" s="141">
        <v>137</v>
      </c>
      <c r="T107" s="141">
        <v>191.7</v>
      </c>
      <c r="U107" s="141">
        <v>183.9</v>
      </c>
      <c r="V107" s="141">
        <v>113.7</v>
      </c>
      <c r="W107" s="141">
        <v>100</v>
      </c>
      <c r="X107" s="141">
        <v>104.5</v>
      </c>
      <c r="Y107" s="141">
        <v>105</v>
      </c>
      <c r="Z107" s="141">
        <v>113.10483870967742</v>
      </c>
      <c r="AA107" s="141">
        <v>112.3</v>
      </c>
      <c r="AB107" s="141">
        <v>146.80000000000001</v>
      </c>
      <c r="AC107" s="141">
        <v>121.7</v>
      </c>
      <c r="AD107" s="141">
        <v>107.1</v>
      </c>
      <c r="AE107" s="141">
        <v>127.7</v>
      </c>
      <c r="AF107" s="141">
        <v>107.6</v>
      </c>
      <c r="AG107" s="141">
        <v>107.7</v>
      </c>
      <c r="AH107" s="141">
        <v>96.9</v>
      </c>
      <c r="AI107" s="141">
        <v>102.9</v>
      </c>
      <c r="AJ107" s="141">
        <v>120.5</v>
      </c>
      <c r="AK107" s="141">
        <v>150.5</v>
      </c>
      <c r="AL107" s="141">
        <v>180.3</v>
      </c>
      <c r="AM107" s="141">
        <v>123.9</v>
      </c>
      <c r="AN107" s="141">
        <v>109.24</v>
      </c>
      <c r="AO107" s="141">
        <v>118.7</v>
      </c>
      <c r="AP107" s="142">
        <v>119</v>
      </c>
    </row>
    <row r="108" spans="1:42" s="121" customFormat="1" x14ac:dyDescent="0.25">
      <c r="A108" s="140" cm="1">
        <f t="array" ref="A108:AP108">INDEX(INDICES,MATCH(EDATE(A107,1),'INDICES PRIX'!A:A,0),)</f>
        <v>44562</v>
      </c>
      <c r="B108" s="141">
        <v>110.8</v>
      </c>
      <c r="C108" s="141">
        <v>122.6</v>
      </c>
      <c r="D108" s="141">
        <v>123.6</v>
      </c>
      <c r="E108" s="141">
        <v>156.1</v>
      </c>
      <c r="F108" s="141">
        <v>138.13999999999999</v>
      </c>
      <c r="G108" s="141">
        <v>106.8</v>
      </c>
      <c r="H108" s="141">
        <v>111.4</v>
      </c>
      <c r="I108" s="141">
        <v>153.9</v>
      </c>
      <c r="J108" s="141">
        <v>525.1</v>
      </c>
      <c r="K108" s="141">
        <v>133.34803453745306</v>
      </c>
      <c r="L108" s="141">
        <v>126.1</v>
      </c>
      <c r="M108" s="141">
        <v>152.6</v>
      </c>
      <c r="N108" s="141">
        <v>109.8</v>
      </c>
      <c r="O108" s="141">
        <v>193.7</v>
      </c>
      <c r="P108" s="141">
        <v>105.7</v>
      </c>
      <c r="Q108" s="141">
        <v>124.9</v>
      </c>
      <c r="R108" s="141">
        <v>123</v>
      </c>
      <c r="S108" s="141">
        <v>151.1</v>
      </c>
      <c r="T108" s="141">
        <v>192.2</v>
      </c>
      <c r="U108" s="141">
        <v>182.4</v>
      </c>
      <c r="V108" s="141">
        <v>114.2</v>
      </c>
      <c r="W108" s="141">
        <v>104.6</v>
      </c>
      <c r="X108" s="141">
        <v>110.6</v>
      </c>
      <c r="Y108" s="141">
        <v>111.2</v>
      </c>
      <c r="Z108" s="141">
        <v>114.51612903225806</v>
      </c>
      <c r="AA108" s="141">
        <v>113.8</v>
      </c>
      <c r="AB108" s="141">
        <v>154.80000000000001</v>
      </c>
      <c r="AC108" s="141">
        <v>131.4</v>
      </c>
      <c r="AD108" s="141">
        <v>109.5</v>
      </c>
      <c r="AE108" s="141">
        <v>131.6</v>
      </c>
      <c r="AF108" s="141">
        <v>110.3</v>
      </c>
      <c r="AG108" s="141">
        <v>111.4</v>
      </c>
      <c r="AH108" s="141">
        <v>98</v>
      </c>
      <c r="AI108" s="141">
        <v>102.9</v>
      </c>
      <c r="AJ108" s="141">
        <v>124.1</v>
      </c>
      <c r="AK108" s="141">
        <v>173.6</v>
      </c>
      <c r="AL108" s="141">
        <v>176.4</v>
      </c>
      <c r="AM108" s="141">
        <v>126.2</v>
      </c>
      <c r="AN108" s="141">
        <v>110.08</v>
      </c>
      <c r="AO108" s="141">
        <v>124.9</v>
      </c>
      <c r="AP108" s="142">
        <v>130.19999999999999</v>
      </c>
    </row>
    <row r="109" spans="1:42" s="121" customFormat="1" x14ac:dyDescent="0.25">
      <c r="A109" s="140" cm="1">
        <f t="array" ref="A109:AP109">INDEX(INDICES,MATCH(EDATE(A108,1),'INDICES PRIX'!A:A,0),)</f>
        <v>44593</v>
      </c>
      <c r="B109" s="141">
        <v>111.3</v>
      </c>
      <c r="C109" s="141">
        <v>122.8</v>
      </c>
      <c r="D109" s="141">
        <v>124</v>
      </c>
      <c r="E109" s="141">
        <v>167.4</v>
      </c>
      <c r="F109" s="141">
        <v>145.84</v>
      </c>
      <c r="G109" s="141">
        <v>106.8</v>
      </c>
      <c r="H109" s="141">
        <v>111.4</v>
      </c>
      <c r="I109" s="141">
        <v>159</v>
      </c>
      <c r="J109" s="141">
        <v>410.7</v>
      </c>
      <c r="K109" s="141">
        <v>144.33923121562654</v>
      </c>
      <c r="L109" s="141">
        <v>127.4</v>
      </c>
      <c r="M109" s="141">
        <v>152.5</v>
      </c>
      <c r="N109" s="141">
        <v>109.6</v>
      </c>
      <c r="O109" s="141">
        <v>196.9</v>
      </c>
      <c r="P109" s="141">
        <v>105.7</v>
      </c>
      <c r="Q109" s="141">
        <v>127.6</v>
      </c>
      <c r="R109" s="141">
        <v>122</v>
      </c>
      <c r="S109" s="141">
        <v>155</v>
      </c>
      <c r="T109" s="141">
        <v>199</v>
      </c>
      <c r="U109" s="141">
        <v>198</v>
      </c>
      <c r="V109" s="141">
        <v>118.2</v>
      </c>
      <c r="W109" s="141">
        <v>105.1</v>
      </c>
      <c r="X109" s="141">
        <v>109.4</v>
      </c>
      <c r="Y109" s="141">
        <v>116</v>
      </c>
      <c r="Z109" s="141">
        <v>114.21370967741936</v>
      </c>
      <c r="AA109" s="141">
        <v>113.9</v>
      </c>
      <c r="AB109" s="141">
        <v>156.80000000000001</v>
      </c>
      <c r="AC109" s="141">
        <v>132.5</v>
      </c>
      <c r="AD109" s="141">
        <v>112.5</v>
      </c>
      <c r="AE109" s="141">
        <v>134.4</v>
      </c>
      <c r="AF109" s="141">
        <v>112.1</v>
      </c>
      <c r="AG109" s="141">
        <v>113</v>
      </c>
      <c r="AH109" s="141">
        <v>99</v>
      </c>
      <c r="AI109" s="141">
        <v>102.6</v>
      </c>
      <c r="AJ109" s="141">
        <v>138.5</v>
      </c>
      <c r="AK109" s="141">
        <v>174.5</v>
      </c>
      <c r="AL109" s="141">
        <v>175.6</v>
      </c>
      <c r="AM109" s="141">
        <v>127.1</v>
      </c>
      <c r="AN109" s="141">
        <v>110.46</v>
      </c>
      <c r="AO109" s="141">
        <v>126.3</v>
      </c>
      <c r="AP109" s="142">
        <v>133</v>
      </c>
    </row>
    <row r="110" spans="1:42" s="121" customFormat="1" x14ac:dyDescent="0.25">
      <c r="A110" s="140" cm="1">
        <f t="array" ref="A110:AP110">INDEX(INDICES,MATCH(EDATE(A109,1),'INDICES PRIX'!A:A,0),)</f>
        <v>44621</v>
      </c>
      <c r="B110" s="141">
        <v>111.1</v>
      </c>
      <c r="C110" s="141">
        <v>123</v>
      </c>
      <c r="D110" s="141">
        <v>124.5</v>
      </c>
      <c r="E110" s="141">
        <v>224.4</v>
      </c>
      <c r="F110" s="141">
        <v>171.16</v>
      </c>
      <c r="G110" s="141">
        <v>106.8</v>
      </c>
      <c r="H110" s="141">
        <v>111.4</v>
      </c>
      <c r="I110" s="141">
        <v>173</v>
      </c>
      <c r="J110" s="141">
        <v>466.9</v>
      </c>
      <c r="K110" s="141">
        <v>191.7609265609718</v>
      </c>
      <c r="L110" s="141">
        <v>127.2</v>
      </c>
      <c r="M110" s="141">
        <v>152.5</v>
      </c>
      <c r="N110" s="141">
        <v>109.3</v>
      </c>
      <c r="O110" s="141">
        <v>213.4</v>
      </c>
      <c r="P110" s="141">
        <v>106.1</v>
      </c>
      <c r="Q110" s="141">
        <v>129.5</v>
      </c>
      <c r="R110" s="141">
        <v>121.8</v>
      </c>
      <c r="S110" s="141">
        <v>167.8</v>
      </c>
      <c r="T110" s="141">
        <v>208.8</v>
      </c>
      <c r="U110" s="141">
        <v>224.3</v>
      </c>
      <c r="V110" s="141">
        <v>117.3</v>
      </c>
      <c r="W110" s="141">
        <v>106.4</v>
      </c>
      <c r="X110" s="141">
        <v>110.8</v>
      </c>
      <c r="Y110" s="141">
        <v>118.7</v>
      </c>
      <c r="Z110" s="141">
        <v>113.10483870967742</v>
      </c>
      <c r="AA110" s="141">
        <v>115.4</v>
      </c>
      <c r="AB110" s="141">
        <v>160</v>
      </c>
      <c r="AC110" s="141">
        <v>135.6</v>
      </c>
      <c r="AD110" s="141">
        <v>112.4</v>
      </c>
      <c r="AE110" s="141">
        <v>134.6</v>
      </c>
      <c r="AF110" s="141">
        <v>112.5</v>
      </c>
      <c r="AG110" s="141">
        <v>113.3</v>
      </c>
      <c r="AH110" s="141">
        <v>99.2</v>
      </c>
      <c r="AI110" s="141">
        <v>102.9</v>
      </c>
      <c r="AJ110" s="141">
        <v>126.4</v>
      </c>
      <c r="AK110" s="141">
        <v>180</v>
      </c>
      <c r="AL110" s="141">
        <v>178.1</v>
      </c>
      <c r="AM110" s="141">
        <v>129.6</v>
      </c>
      <c r="AN110" s="141">
        <v>111.45</v>
      </c>
      <c r="AO110" s="141">
        <v>126.9</v>
      </c>
      <c r="AP110" s="142">
        <v>142</v>
      </c>
    </row>
    <row r="111" spans="1:42" s="121" customFormat="1" x14ac:dyDescent="0.25">
      <c r="A111" s="140" cm="1">
        <f t="array" ref="A111:AP111">INDEX(INDICES,MATCH(EDATE(A110,1),'INDICES PRIX'!A:A,0),)</f>
        <v>44652</v>
      </c>
      <c r="B111" s="141">
        <v>113.4</v>
      </c>
      <c r="C111" s="141">
        <v>123.2</v>
      </c>
      <c r="D111" s="141">
        <v>124.8</v>
      </c>
      <c r="E111" s="141">
        <v>188.1</v>
      </c>
      <c r="F111" s="141">
        <v>158.51</v>
      </c>
      <c r="G111" s="141">
        <v>109.9</v>
      </c>
      <c r="H111" s="141">
        <v>115.1</v>
      </c>
      <c r="I111" s="141">
        <v>159.19999999999999</v>
      </c>
      <c r="J111" s="141">
        <v>582.29999999999995</v>
      </c>
      <c r="K111" s="141">
        <v>166.232985889085</v>
      </c>
      <c r="L111" s="141">
        <v>130.19999999999999</v>
      </c>
      <c r="M111" s="141">
        <v>160.30000000000001</v>
      </c>
      <c r="N111" s="141">
        <v>111.3</v>
      </c>
      <c r="O111" s="141">
        <v>249.2</v>
      </c>
      <c r="P111" s="141">
        <v>107.5</v>
      </c>
      <c r="Q111" s="141">
        <v>133.69999999999999</v>
      </c>
      <c r="R111" s="141">
        <v>123.5</v>
      </c>
      <c r="S111" s="141">
        <v>167.9</v>
      </c>
      <c r="T111" s="141">
        <v>244.4</v>
      </c>
      <c r="U111" s="141">
        <v>256</v>
      </c>
      <c r="V111" s="141">
        <v>118.1</v>
      </c>
      <c r="W111" s="141">
        <v>106.9</v>
      </c>
      <c r="X111" s="141">
        <v>115.6</v>
      </c>
      <c r="Y111" s="141">
        <v>123.6</v>
      </c>
      <c r="Z111" s="141">
        <v>112.5</v>
      </c>
      <c r="AA111" s="141">
        <v>116.8</v>
      </c>
      <c r="AB111" s="141">
        <v>171.9</v>
      </c>
      <c r="AC111" s="141">
        <v>138.69999999999999</v>
      </c>
      <c r="AD111" s="141">
        <v>112.5</v>
      </c>
      <c r="AE111" s="141">
        <v>139.1</v>
      </c>
      <c r="AF111" s="141">
        <v>113.7</v>
      </c>
      <c r="AG111" s="141">
        <v>114.8</v>
      </c>
      <c r="AH111" s="141">
        <v>99.1</v>
      </c>
      <c r="AI111" s="141">
        <v>103.5</v>
      </c>
      <c r="AJ111" s="141">
        <v>125</v>
      </c>
      <c r="AK111" s="141">
        <v>194.1</v>
      </c>
      <c r="AL111" s="141">
        <v>181.2</v>
      </c>
      <c r="AM111" s="141">
        <v>131.6</v>
      </c>
      <c r="AN111" s="141">
        <v>110.96</v>
      </c>
      <c r="AO111" s="141">
        <v>126.7</v>
      </c>
      <c r="AP111" s="142">
        <v>144.5</v>
      </c>
    </row>
    <row r="112" spans="1:42" s="121" customFormat="1" x14ac:dyDescent="0.25">
      <c r="A112" s="140" cm="1">
        <f t="array" ref="A112:AP112">INDEX(INDICES,MATCH(EDATE(A111,1),'INDICES PRIX'!A:A,0),)</f>
        <v>44682</v>
      </c>
      <c r="B112" s="141">
        <v>113.2</v>
      </c>
      <c r="C112" s="141">
        <v>123.5</v>
      </c>
      <c r="D112" s="141">
        <v>125.2</v>
      </c>
      <c r="E112" s="141">
        <v>188.8</v>
      </c>
      <c r="F112" s="141">
        <v>161.19</v>
      </c>
      <c r="G112" s="141">
        <v>110.4</v>
      </c>
      <c r="H112" s="141">
        <v>115.1</v>
      </c>
      <c r="I112" s="141">
        <v>137.69999999999999</v>
      </c>
      <c r="J112" s="141">
        <v>463.2</v>
      </c>
      <c r="K112" s="141">
        <v>169.10487921467225</v>
      </c>
      <c r="L112" s="141">
        <v>135.69999999999999</v>
      </c>
      <c r="M112" s="141">
        <v>160.5</v>
      </c>
      <c r="N112" s="141">
        <v>112.6</v>
      </c>
      <c r="O112" s="141">
        <v>270.7</v>
      </c>
      <c r="P112" s="141">
        <v>108.3</v>
      </c>
      <c r="Q112" s="141">
        <v>138.19999999999999</v>
      </c>
      <c r="R112" s="141">
        <v>126.5</v>
      </c>
      <c r="S112" s="141">
        <v>171.6</v>
      </c>
      <c r="T112" s="141">
        <v>265.3</v>
      </c>
      <c r="U112" s="141">
        <v>248.1</v>
      </c>
      <c r="V112" s="141">
        <v>118.9</v>
      </c>
      <c r="W112" s="141">
        <v>109.1</v>
      </c>
      <c r="X112" s="141">
        <v>121</v>
      </c>
      <c r="Y112" s="141">
        <v>127.6</v>
      </c>
      <c r="Z112" s="141">
        <v>117.6</v>
      </c>
      <c r="AA112" s="141">
        <v>116.9</v>
      </c>
      <c r="AB112" s="141">
        <v>178.4</v>
      </c>
      <c r="AC112" s="141">
        <v>139.6</v>
      </c>
      <c r="AD112" s="141">
        <v>114.2</v>
      </c>
      <c r="AE112" s="141">
        <v>141.6</v>
      </c>
      <c r="AF112" s="141">
        <v>114.7</v>
      </c>
      <c r="AG112" s="141">
        <v>115</v>
      </c>
      <c r="AH112" s="141">
        <v>100.9</v>
      </c>
      <c r="AI112" s="141">
        <v>103.8</v>
      </c>
      <c r="AJ112" s="141">
        <v>132.5</v>
      </c>
      <c r="AK112" s="141">
        <v>197.9</v>
      </c>
      <c r="AL112" s="141">
        <v>188.4</v>
      </c>
      <c r="AM112" s="141">
        <v>134.19999999999999</v>
      </c>
      <c r="AN112" s="141">
        <v>112.72</v>
      </c>
      <c r="AO112" s="141">
        <v>126.9</v>
      </c>
      <c r="AP112" s="142">
        <v>141.69999999999999</v>
      </c>
    </row>
    <row r="113" spans="1:42" s="121" customFormat="1" x14ac:dyDescent="0.25">
      <c r="A113" s="140" cm="1">
        <f t="array" ref="A113:AP113">INDEX(INDICES,MATCH(EDATE(A112,1),'INDICES PRIX'!A:A,0),)</f>
        <v>44713</v>
      </c>
      <c r="B113" s="141">
        <v>113.3</v>
      </c>
      <c r="C113" s="141">
        <v>123.7</v>
      </c>
      <c r="D113" s="141">
        <v>125.5</v>
      </c>
      <c r="E113" s="141">
        <v>220</v>
      </c>
      <c r="F113" s="141">
        <v>177.37</v>
      </c>
      <c r="G113" s="141">
        <v>111.8</v>
      </c>
      <c r="H113" s="141">
        <v>115.1</v>
      </c>
      <c r="I113" s="141">
        <v>119.7</v>
      </c>
      <c r="J113" s="141">
        <v>470.1</v>
      </c>
      <c r="K113" s="141">
        <v>198.40882777760893</v>
      </c>
      <c r="L113" s="141">
        <v>137.6</v>
      </c>
      <c r="M113" s="141">
        <v>160.6</v>
      </c>
      <c r="N113" s="141">
        <v>112</v>
      </c>
      <c r="O113" s="141">
        <v>256.3</v>
      </c>
      <c r="P113" s="141">
        <v>109.6</v>
      </c>
      <c r="Q113" s="141">
        <v>140.69999999999999</v>
      </c>
      <c r="R113" s="141">
        <v>132.4</v>
      </c>
      <c r="S113" s="141">
        <v>175.7</v>
      </c>
      <c r="T113" s="141">
        <v>253.5</v>
      </c>
      <c r="U113" s="141">
        <v>260.7</v>
      </c>
      <c r="V113" s="141">
        <v>123.4</v>
      </c>
      <c r="W113" s="141">
        <v>110.6</v>
      </c>
      <c r="X113" s="141">
        <v>123.9</v>
      </c>
      <c r="Y113" s="141">
        <v>128.69999999999999</v>
      </c>
      <c r="Z113" s="141">
        <v>121.5</v>
      </c>
      <c r="AA113" s="141">
        <v>118.4</v>
      </c>
      <c r="AB113" s="141">
        <v>175.9</v>
      </c>
      <c r="AC113" s="141">
        <v>147.5</v>
      </c>
      <c r="AD113" s="141">
        <v>117.1</v>
      </c>
      <c r="AE113" s="141">
        <v>143.1</v>
      </c>
      <c r="AF113" s="141">
        <v>115.5</v>
      </c>
      <c r="AG113" s="141">
        <v>115.6</v>
      </c>
      <c r="AH113" s="141">
        <v>101.9</v>
      </c>
      <c r="AI113" s="141">
        <v>103.6</v>
      </c>
      <c r="AJ113" s="141">
        <v>138.4</v>
      </c>
      <c r="AK113" s="141">
        <v>197.6</v>
      </c>
      <c r="AL113" s="141">
        <v>184.8</v>
      </c>
      <c r="AM113" s="141">
        <v>133.6</v>
      </c>
      <c r="AN113" s="141">
        <v>114.25</v>
      </c>
      <c r="AO113" s="141">
        <v>126.8</v>
      </c>
      <c r="AP113" s="142">
        <v>136.69999999999999</v>
      </c>
    </row>
    <row r="114" spans="1:42" s="121" customFormat="1" x14ac:dyDescent="0.25">
      <c r="A114" s="140" cm="1">
        <f t="array" ref="A114:AP114">INDEX(INDICES,MATCH(EDATE(A113,1),'INDICES PRIX'!A:A,0),)</f>
        <v>44743</v>
      </c>
      <c r="B114" s="141">
        <v>116.6</v>
      </c>
      <c r="C114" s="141">
        <v>123.7</v>
      </c>
      <c r="D114" s="141">
        <v>125.5</v>
      </c>
      <c r="E114" s="141">
        <v>198.7</v>
      </c>
      <c r="F114" s="141">
        <v>169.9</v>
      </c>
      <c r="G114" s="141">
        <v>115.2</v>
      </c>
      <c r="H114" s="141">
        <v>117.1</v>
      </c>
      <c r="I114" s="141">
        <v>121.5</v>
      </c>
      <c r="J114" s="141">
        <v>555.29999999999995</v>
      </c>
      <c r="K114" s="141">
        <v>182.79069185265595</v>
      </c>
      <c r="L114" s="141">
        <v>135.9</v>
      </c>
      <c r="M114" s="141">
        <v>160.6</v>
      </c>
      <c r="N114" s="141">
        <v>113.3</v>
      </c>
      <c r="O114" s="141">
        <v>246.9</v>
      </c>
      <c r="P114" s="141">
        <v>110.7</v>
      </c>
      <c r="Q114" s="141">
        <v>140.4</v>
      </c>
      <c r="R114" s="141">
        <v>133.6</v>
      </c>
      <c r="S114" s="141">
        <v>172</v>
      </c>
      <c r="T114" s="141">
        <v>252.4</v>
      </c>
      <c r="U114" s="141">
        <v>243.5</v>
      </c>
      <c r="V114" s="141">
        <v>125.3</v>
      </c>
      <c r="W114" s="141">
        <v>110.4</v>
      </c>
      <c r="X114" s="141">
        <v>126.1</v>
      </c>
      <c r="Y114" s="141">
        <v>132.5</v>
      </c>
      <c r="Z114" s="141">
        <v>124</v>
      </c>
      <c r="AA114" s="141">
        <v>118.4</v>
      </c>
      <c r="AB114" s="141">
        <v>168.4</v>
      </c>
      <c r="AC114" s="141">
        <v>155</v>
      </c>
      <c r="AD114" s="141">
        <v>121.2</v>
      </c>
      <c r="AE114" s="141">
        <v>143.1</v>
      </c>
      <c r="AF114" s="141">
        <v>116.3</v>
      </c>
      <c r="AG114" s="141">
        <v>116.8</v>
      </c>
      <c r="AH114" s="141">
        <v>101.6</v>
      </c>
      <c r="AI114" s="141">
        <v>104.5</v>
      </c>
      <c r="AJ114" s="141">
        <v>143.6</v>
      </c>
      <c r="AK114" s="141">
        <v>190.4</v>
      </c>
      <c r="AL114" s="141">
        <v>195.8</v>
      </c>
      <c r="AM114" s="141">
        <v>134.30000000000001</v>
      </c>
      <c r="AN114" s="141">
        <v>118.88</v>
      </c>
      <c r="AO114" s="141">
        <v>127.5</v>
      </c>
      <c r="AP114" s="142">
        <v>132.1</v>
      </c>
    </row>
    <row r="115" spans="1:42" s="121" customFormat="1" x14ac:dyDescent="0.25">
      <c r="A115" s="140" cm="1">
        <f t="array" ref="A115:AP115">INDEX(INDICES,MATCH(EDATE(A114,1),'INDICES PRIX'!A:A,0),)</f>
        <v>44774</v>
      </c>
      <c r="B115" s="141">
        <v>116.6</v>
      </c>
      <c r="C115" s="141">
        <v>123.7</v>
      </c>
      <c r="D115" s="141">
        <v>125.5</v>
      </c>
      <c r="E115" s="141">
        <v>189.1</v>
      </c>
      <c r="F115" s="141">
        <v>158.9</v>
      </c>
      <c r="G115" s="141">
        <v>115.3</v>
      </c>
      <c r="H115" s="141">
        <v>117.1</v>
      </c>
      <c r="I115" s="141">
        <v>122.9</v>
      </c>
      <c r="J115" s="141">
        <v>820.3</v>
      </c>
      <c r="K115" s="141">
        <v>165.98479757699718</v>
      </c>
      <c r="L115" s="141">
        <v>136.9</v>
      </c>
      <c r="M115" s="141">
        <v>160.6</v>
      </c>
      <c r="N115" s="141">
        <v>116.6</v>
      </c>
      <c r="O115" s="141">
        <v>241.2</v>
      </c>
      <c r="P115" s="141">
        <v>111.1</v>
      </c>
      <c r="Q115" s="141">
        <v>139.30000000000001</v>
      </c>
      <c r="R115" s="141">
        <v>133.4</v>
      </c>
      <c r="S115" s="141">
        <v>172.4</v>
      </c>
      <c r="T115" s="141">
        <v>252.7</v>
      </c>
      <c r="U115" s="141">
        <v>215.4</v>
      </c>
      <c r="V115" s="141">
        <v>123.3</v>
      </c>
      <c r="W115" s="141">
        <v>111.7</v>
      </c>
      <c r="X115" s="141">
        <v>125.8</v>
      </c>
      <c r="Y115" s="141">
        <v>133.9</v>
      </c>
      <c r="Z115" s="141">
        <v>124.5</v>
      </c>
      <c r="AA115" s="141">
        <v>117.8</v>
      </c>
      <c r="AB115" s="141">
        <v>170</v>
      </c>
      <c r="AC115" s="141">
        <v>157.4</v>
      </c>
      <c r="AD115" s="141">
        <v>122.7</v>
      </c>
      <c r="AE115" s="141">
        <v>143.1</v>
      </c>
      <c r="AF115" s="141">
        <v>118</v>
      </c>
      <c r="AG115" s="141">
        <v>118.7</v>
      </c>
      <c r="AH115" s="141">
        <v>102</v>
      </c>
      <c r="AI115" s="141">
        <v>104.6</v>
      </c>
      <c r="AJ115" s="141">
        <v>146.80000000000001</v>
      </c>
      <c r="AK115" s="141">
        <v>185.7</v>
      </c>
      <c r="AL115" s="141">
        <v>189.2</v>
      </c>
      <c r="AM115" s="141">
        <v>134.9</v>
      </c>
      <c r="AN115" s="141">
        <v>120.65</v>
      </c>
      <c r="AO115" s="141">
        <v>127.5</v>
      </c>
      <c r="AP115" s="142">
        <v>127.9</v>
      </c>
    </row>
    <row r="116" spans="1:42" s="121" customFormat="1" x14ac:dyDescent="0.25">
      <c r="A116" s="143" cm="1">
        <f t="array" ref="A116:AP116">INDEX(INDICES,MATCH(EDATE(A115,1),'INDICES PRIX'!A:A,0),)</f>
        <v>44805</v>
      </c>
      <c r="B116" s="144">
        <v>117.1</v>
      </c>
      <c r="C116" s="144">
        <v>123.7</v>
      </c>
      <c r="D116" s="144">
        <v>125.5</v>
      </c>
      <c r="E116" s="144">
        <v>175</v>
      </c>
      <c r="F116" s="144">
        <v>148.12</v>
      </c>
      <c r="G116" s="144">
        <v>112.8</v>
      </c>
      <c r="H116" s="144">
        <v>117.1</v>
      </c>
      <c r="I116" s="144">
        <v>119.8</v>
      </c>
      <c r="J116" s="144">
        <v>972.8</v>
      </c>
      <c r="K116" s="144">
        <v>145.70426693210933</v>
      </c>
      <c r="L116" s="144">
        <v>135.69999999999999</v>
      </c>
      <c r="M116" s="144">
        <v>160.6</v>
      </c>
      <c r="N116" s="144">
        <v>114.6</v>
      </c>
      <c r="O116" s="144">
        <v>229.2</v>
      </c>
      <c r="P116" s="144">
        <v>110.9</v>
      </c>
      <c r="Q116" s="144">
        <v>136.69999999999999</v>
      </c>
      <c r="R116" s="144">
        <v>133.9</v>
      </c>
      <c r="S116" s="144">
        <v>166.9</v>
      </c>
      <c r="T116" s="144">
        <v>241.5</v>
      </c>
      <c r="U116" s="144">
        <v>212.8</v>
      </c>
      <c r="V116" s="144">
        <v>119.2</v>
      </c>
      <c r="W116" s="144">
        <v>111.8</v>
      </c>
      <c r="X116" s="144">
        <v>127</v>
      </c>
      <c r="Y116" s="144">
        <v>133.19999999999999</v>
      </c>
      <c r="Z116" s="144">
        <v>125.6</v>
      </c>
      <c r="AA116" s="144">
        <v>118.4</v>
      </c>
      <c r="AB116" s="144">
        <v>164.8</v>
      </c>
      <c r="AC116" s="144">
        <v>151.19999999999999</v>
      </c>
      <c r="AD116" s="144">
        <v>120.3</v>
      </c>
      <c r="AE116" s="144">
        <v>143.1</v>
      </c>
      <c r="AF116" s="144">
        <v>117</v>
      </c>
      <c r="AG116" s="144">
        <v>116.8</v>
      </c>
      <c r="AH116" s="144">
        <v>103</v>
      </c>
      <c r="AI116" s="144">
        <v>104.8</v>
      </c>
      <c r="AJ116" s="144">
        <v>152.80000000000001</v>
      </c>
      <c r="AK116" s="144">
        <v>183.8</v>
      </c>
      <c r="AL116" s="144">
        <v>168.9</v>
      </c>
      <c r="AM116" s="144">
        <v>135.19999999999999</v>
      </c>
      <c r="AN116" s="144">
        <v>114.92</v>
      </c>
      <c r="AO116" s="144">
        <v>127.5</v>
      </c>
      <c r="AP116" s="145">
        <v>130.30000000000001</v>
      </c>
    </row>
    <row r="117" spans="1:42" s="121" customFormat="1" x14ac:dyDescent="0.25">
      <c r="A117" s="136" t="s">
        <v>219</v>
      </c>
      <c r="B117" s="121">
        <f t="shared" ref="B117:AP117" si="6">SUM(B105:B116)</f>
        <v>1350.8999999999999</v>
      </c>
      <c r="C117" s="121">
        <f t="shared" si="6"/>
        <v>1477.4</v>
      </c>
      <c r="D117" s="121">
        <f t="shared" si="6"/>
        <v>1493.5</v>
      </c>
      <c r="E117" s="121">
        <f t="shared" si="6"/>
        <v>2143.0616271251561</v>
      </c>
      <c r="F117" s="121">
        <f t="shared" si="6"/>
        <v>1826.29</v>
      </c>
      <c r="G117" s="121">
        <f t="shared" si="6"/>
        <v>1314.4999999999998</v>
      </c>
      <c r="H117" s="121">
        <f t="shared" si="6"/>
        <v>1363.1999999999998</v>
      </c>
      <c r="I117" s="121">
        <f t="shared" si="6"/>
        <v>1642.3000000000002</v>
      </c>
      <c r="J117" s="121">
        <f t="shared" si="6"/>
        <v>6514.9000000000005</v>
      </c>
      <c r="K117" s="121">
        <f t="shared" si="6"/>
        <v>1856.4308466800778</v>
      </c>
      <c r="L117" s="121">
        <f t="shared" si="6"/>
        <v>1565.2000000000003</v>
      </c>
      <c r="M117" s="121">
        <f t="shared" si="6"/>
        <v>1857.6999999999996</v>
      </c>
      <c r="N117" s="121">
        <f t="shared" si="6"/>
        <v>1329.3999999999999</v>
      </c>
      <c r="O117" s="121">
        <f t="shared" si="6"/>
        <v>2676.5999999999995</v>
      </c>
      <c r="P117" s="121">
        <f t="shared" si="6"/>
        <v>1285.8</v>
      </c>
      <c r="Q117" s="121">
        <f t="shared" si="6"/>
        <v>1579.0000000000002</v>
      </c>
      <c r="R117" s="121">
        <f t="shared" si="6"/>
        <v>1472.4</v>
      </c>
      <c r="S117" s="121">
        <f t="shared" si="6"/>
        <v>1911.0000000000002</v>
      </c>
      <c r="T117" s="121">
        <f t="shared" si="6"/>
        <v>2685.2999999999997</v>
      </c>
      <c r="U117" s="121">
        <f t="shared" si="6"/>
        <v>2588.9</v>
      </c>
      <c r="V117" s="121">
        <f t="shared" si="6"/>
        <v>1415.5</v>
      </c>
      <c r="W117" s="121">
        <f t="shared" si="6"/>
        <v>1282.4000000000001</v>
      </c>
      <c r="X117" s="121">
        <f t="shared" si="6"/>
        <v>1387.3999999999999</v>
      </c>
      <c r="Y117" s="121">
        <f t="shared" si="6"/>
        <v>1441.6000000000001</v>
      </c>
      <c r="Z117" s="121">
        <f t="shared" si="6"/>
        <v>1406.5467741935483</v>
      </c>
      <c r="AA117" s="121">
        <f t="shared" si="6"/>
        <v>1385.3000000000002</v>
      </c>
      <c r="AB117" s="121">
        <f t="shared" si="6"/>
        <v>1933.9000000000003</v>
      </c>
      <c r="AC117" s="121">
        <f t="shared" si="6"/>
        <v>1650.8</v>
      </c>
      <c r="AD117" s="121">
        <f t="shared" si="6"/>
        <v>1362.5</v>
      </c>
      <c r="AE117" s="121">
        <f t="shared" si="6"/>
        <v>1631.5999999999997</v>
      </c>
      <c r="AF117" s="121">
        <f t="shared" si="6"/>
        <v>1351.8000000000002</v>
      </c>
      <c r="AG117" s="121">
        <f t="shared" si="6"/>
        <v>1358.1</v>
      </c>
      <c r="AH117" s="121">
        <f t="shared" si="6"/>
        <v>1195.7</v>
      </c>
      <c r="AI117" s="121">
        <f t="shared" si="6"/>
        <v>1240.9999999999998</v>
      </c>
      <c r="AJ117" s="121">
        <f t="shared" si="6"/>
        <v>1595.1999999999998</v>
      </c>
      <c r="AK117" s="121">
        <f t="shared" si="6"/>
        <v>2129.3000000000002</v>
      </c>
      <c r="AL117" s="121">
        <f t="shared" si="6"/>
        <v>2189.5</v>
      </c>
      <c r="AM117" s="121">
        <f t="shared" si="6"/>
        <v>1555.6</v>
      </c>
      <c r="AN117" s="121">
        <f t="shared" si="6"/>
        <v>1351.8400000000001</v>
      </c>
      <c r="AO117" s="121">
        <f t="shared" si="6"/>
        <v>1496.3</v>
      </c>
      <c r="AP117" s="121">
        <f t="shared" si="6"/>
        <v>1569.9</v>
      </c>
    </row>
    <row r="118" spans="1:42" s="121" customFormat="1" x14ac:dyDescent="0.25">
      <c r="A118" s="136"/>
    </row>
    <row r="119" spans="1:42" s="121" customFormat="1" x14ac:dyDescent="0.25">
      <c r="A119" s="136"/>
      <c r="B119" s="252" t="str">
        <f>"CUMULS EN N-1 ("&amp;TEXT(EDATE(DATE4,-12),"aaaa")&amp;")"</f>
        <v>CUMULS EN N-1 (2021)</v>
      </c>
      <c r="C119" s="252"/>
      <c r="D119" s="252"/>
    </row>
    <row r="120" spans="1:42" s="121" customFormat="1" x14ac:dyDescent="0.25">
      <c r="A120" s="138" cm="1">
        <f t="array" ref="A120:AP120">INDEX(INDICES,MATCH(EDATE(DATE4,-23),'INDICES PRIX'!A:A,0),)</f>
        <v>44105</v>
      </c>
      <c r="B120" s="55">
        <v>104.1</v>
      </c>
      <c r="C120" s="55">
        <v>123.5</v>
      </c>
      <c r="D120" s="55">
        <v>122.9</v>
      </c>
      <c r="E120" s="55">
        <v>95.632139083661556</v>
      </c>
      <c r="F120" s="55">
        <v>103.91</v>
      </c>
      <c r="G120" s="55">
        <v>102.4</v>
      </c>
      <c r="H120" s="55">
        <v>108.8</v>
      </c>
      <c r="I120" s="55">
        <v>109.8</v>
      </c>
      <c r="J120" s="55">
        <v>60</v>
      </c>
      <c r="K120" s="55">
        <v>77.969280222215701</v>
      </c>
      <c r="L120" s="55">
        <v>97.3</v>
      </c>
      <c r="M120" s="55">
        <v>109</v>
      </c>
      <c r="N120" s="55">
        <v>105.9</v>
      </c>
      <c r="O120" s="55">
        <v>110.7</v>
      </c>
      <c r="P120" s="55">
        <v>103</v>
      </c>
      <c r="Q120" s="55">
        <v>95.4</v>
      </c>
      <c r="R120" s="55">
        <v>101.6</v>
      </c>
      <c r="S120" s="55">
        <v>110.5</v>
      </c>
      <c r="T120" s="55">
        <v>108.7</v>
      </c>
      <c r="U120" s="55">
        <v>130.5</v>
      </c>
      <c r="V120" s="55">
        <v>104.4</v>
      </c>
      <c r="W120" s="55">
        <v>100.4</v>
      </c>
      <c r="X120" s="55">
        <v>93.8</v>
      </c>
      <c r="Y120" s="55">
        <v>103.2</v>
      </c>
      <c r="Z120" s="55">
        <v>102.7217741935484</v>
      </c>
      <c r="AA120" s="55">
        <v>107.3</v>
      </c>
      <c r="AB120" s="55">
        <v>90.5</v>
      </c>
      <c r="AC120" s="55">
        <v>107</v>
      </c>
      <c r="AD120" s="55">
        <v>102.6</v>
      </c>
      <c r="AE120" s="55">
        <v>95.8</v>
      </c>
      <c r="AF120" s="55">
        <v>103.7</v>
      </c>
      <c r="AG120" s="55">
        <v>104.2</v>
      </c>
      <c r="AH120" s="55">
        <v>98.3</v>
      </c>
      <c r="AI120" s="55">
        <v>106</v>
      </c>
      <c r="AJ120" s="55">
        <v>113.3</v>
      </c>
      <c r="AK120" s="55">
        <v>105.3</v>
      </c>
      <c r="AL120" s="55">
        <v>93.6</v>
      </c>
      <c r="AM120" s="55">
        <v>109.4</v>
      </c>
      <c r="AN120" s="55">
        <v>107.21</v>
      </c>
      <c r="AO120" s="55">
        <v>110.9</v>
      </c>
      <c r="AP120" s="8">
        <v>99</v>
      </c>
    </row>
    <row r="121" spans="1:42" s="121" customFormat="1" x14ac:dyDescent="0.25">
      <c r="A121" s="140" cm="1">
        <f t="array" ref="A121:AP121">INDEX(INDICES,MATCH(EDATE(A120,1),'INDICES PRIX'!A:A,0),)</f>
        <v>44136</v>
      </c>
      <c r="B121" s="141">
        <v>104.4</v>
      </c>
      <c r="C121" s="141">
        <v>123.5</v>
      </c>
      <c r="D121" s="141">
        <v>123.2</v>
      </c>
      <c r="E121" s="141">
        <v>98.634847757179941</v>
      </c>
      <c r="F121" s="141">
        <v>104.72</v>
      </c>
      <c r="G121" s="141">
        <v>102.6</v>
      </c>
      <c r="H121" s="141">
        <v>108.8</v>
      </c>
      <c r="I121" s="141">
        <v>116.4</v>
      </c>
      <c r="J121" s="141">
        <v>69.400000000000006</v>
      </c>
      <c r="K121" s="141">
        <v>80.93739180767102</v>
      </c>
      <c r="L121" s="141">
        <v>98.4</v>
      </c>
      <c r="M121" s="141">
        <v>108.9</v>
      </c>
      <c r="N121" s="141">
        <v>105.4</v>
      </c>
      <c r="O121" s="141">
        <v>112.6</v>
      </c>
      <c r="P121" s="141">
        <v>102.8</v>
      </c>
      <c r="Q121" s="141">
        <v>94.9</v>
      </c>
      <c r="R121" s="141">
        <v>102.8</v>
      </c>
      <c r="S121" s="141">
        <v>111.4</v>
      </c>
      <c r="T121" s="141">
        <v>108.9</v>
      </c>
      <c r="U121" s="141">
        <v>126.3</v>
      </c>
      <c r="V121" s="141">
        <v>103.9</v>
      </c>
      <c r="W121" s="141">
        <v>99.6</v>
      </c>
      <c r="X121" s="141">
        <v>93.6</v>
      </c>
      <c r="Y121" s="141">
        <v>102.7</v>
      </c>
      <c r="Z121" s="141">
        <v>102.92338709677419</v>
      </c>
      <c r="AA121" s="141">
        <v>107</v>
      </c>
      <c r="AB121" s="141">
        <v>93.4</v>
      </c>
      <c r="AC121" s="141">
        <v>107.1</v>
      </c>
      <c r="AD121" s="141">
        <v>102.4</v>
      </c>
      <c r="AE121" s="141">
        <v>96.4</v>
      </c>
      <c r="AF121" s="141">
        <v>103.6</v>
      </c>
      <c r="AG121" s="141">
        <v>103.8</v>
      </c>
      <c r="AH121" s="141">
        <v>98.7</v>
      </c>
      <c r="AI121" s="141">
        <v>105.8</v>
      </c>
      <c r="AJ121" s="141">
        <v>113.1</v>
      </c>
      <c r="AK121" s="141">
        <v>106.4</v>
      </c>
      <c r="AL121" s="141">
        <v>95.3</v>
      </c>
      <c r="AM121" s="141">
        <v>109.4</v>
      </c>
      <c r="AN121" s="141">
        <v>106.81</v>
      </c>
      <c r="AO121" s="141">
        <v>110.5</v>
      </c>
      <c r="AP121" s="142">
        <v>99.5</v>
      </c>
    </row>
    <row r="122" spans="1:42" s="121" customFormat="1" x14ac:dyDescent="0.25">
      <c r="A122" s="140" cm="1">
        <f t="array" ref="A122:AP122">INDEX(INDICES,MATCH(EDATE(A121,1),'INDICES PRIX'!A:A,0),)</f>
        <v>44166</v>
      </c>
      <c r="B122" s="141">
        <v>104.4</v>
      </c>
      <c r="C122" s="141">
        <v>123.4</v>
      </c>
      <c r="D122" s="141">
        <v>123.4</v>
      </c>
      <c r="E122" s="141">
        <v>103.4970319854001</v>
      </c>
      <c r="F122" s="141">
        <v>108.63</v>
      </c>
      <c r="G122" s="141">
        <v>103.7</v>
      </c>
      <c r="H122" s="141">
        <v>108.8</v>
      </c>
      <c r="I122" s="141">
        <v>128</v>
      </c>
      <c r="J122" s="141">
        <v>72.2</v>
      </c>
      <c r="K122" s="141">
        <v>84.005300768173541</v>
      </c>
      <c r="L122" s="141">
        <v>98.9</v>
      </c>
      <c r="M122" s="141">
        <v>108.8</v>
      </c>
      <c r="N122" s="141">
        <v>104.7</v>
      </c>
      <c r="O122" s="141">
        <v>116.1</v>
      </c>
      <c r="P122" s="141">
        <v>101.8</v>
      </c>
      <c r="Q122" s="141">
        <v>95.8</v>
      </c>
      <c r="R122" s="141">
        <v>103.2</v>
      </c>
      <c r="S122" s="141">
        <v>114.9</v>
      </c>
      <c r="T122" s="141">
        <v>110.8</v>
      </c>
      <c r="U122" s="141">
        <v>128.5</v>
      </c>
      <c r="V122" s="141">
        <v>106.6</v>
      </c>
      <c r="W122" s="141">
        <v>96.4</v>
      </c>
      <c r="X122" s="141">
        <v>93.7</v>
      </c>
      <c r="Y122" s="141">
        <v>102.4</v>
      </c>
      <c r="Z122" s="141">
        <v>103.83064516129032</v>
      </c>
      <c r="AA122" s="141">
        <v>107.3</v>
      </c>
      <c r="AB122" s="141">
        <v>97.2</v>
      </c>
      <c r="AC122" s="141">
        <v>107.3</v>
      </c>
      <c r="AD122" s="141">
        <v>102.9</v>
      </c>
      <c r="AE122" s="141">
        <v>97.5</v>
      </c>
      <c r="AF122" s="141">
        <v>103.8</v>
      </c>
      <c r="AG122" s="141">
        <v>104</v>
      </c>
      <c r="AH122" s="141">
        <v>98.5</v>
      </c>
      <c r="AI122" s="141">
        <v>105.8</v>
      </c>
      <c r="AJ122" s="141">
        <v>108.9</v>
      </c>
      <c r="AK122" s="141">
        <v>106.9</v>
      </c>
      <c r="AL122" s="141">
        <v>96.3</v>
      </c>
      <c r="AM122" s="141">
        <v>110</v>
      </c>
      <c r="AN122" s="141">
        <v>106.73</v>
      </c>
      <c r="AO122" s="141">
        <v>110.6</v>
      </c>
      <c r="AP122" s="142">
        <v>103.5</v>
      </c>
    </row>
    <row r="123" spans="1:42" s="121" customFormat="1" x14ac:dyDescent="0.25">
      <c r="A123" s="140" cm="1">
        <f t="array" ref="A123:AP123">INDEX(INDICES,MATCH(EDATE(A122,1),'INDICES PRIX'!A:A,0),)</f>
        <v>44197</v>
      </c>
      <c r="B123" s="141">
        <v>104.5</v>
      </c>
      <c r="C123" s="141">
        <v>123.4</v>
      </c>
      <c r="D123" s="141">
        <v>123.6</v>
      </c>
      <c r="E123" s="141">
        <v>110.08095283834412</v>
      </c>
      <c r="F123" s="141">
        <v>111.52</v>
      </c>
      <c r="G123" s="141">
        <v>103.3</v>
      </c>
      <c r="H123" s="141">
        <v>108.8</v>
      </c>
      <c r="I123" s="141">
        <v>133.30000000000001</v>
      </c>
      <c r="J123" s="141">
        <v>87.5</v>
      </c>
      <c r="K123" s="141">
        <v>87.475840517659549</v>
      </c>
      <c r="L123" s="141">
        <v>98.9</v>
      </c>
      <c r="M123" s="141">
        <v>114.6</v>
      </c>
      <c r="N123" s="141">
        <v>105.8</v>
      </c>
      <c r="O123" s="141">
        <v>130.80000000000001</v>
      </c>
      <c r="P123" s="141">
        <v>104.3</v>
      </c>
      <c r="Q123" s="141">
        <v>96.9</v>
      </c>
      <c r="R123" s="141">
        <v>105.7</v>
      </c>
      <c r="S123" s="141">
        <v>114.4</v>
      </c>
      <c r="T123" s="141">
        <v>123</v>
      </c>
      <c r="U123" s="141">
        <v>135.69999999999999</v>
      </c>
      <c r="V123" s="141">
        <v>107.4</v>
      </c>
      <c r="W123" s="141">
        <v>101.6</v>
      </c>
      <c r="X123" s="141">
        <v>94.4</v>
      </c>
      <c r="Y123" s="141">
        <v>102</v>
      </c>
      <c r="Z123" s="141">
        <v>104.33467741935483</v>
      </c>
      <c r="AA123" s="141">
        <v>107</v>
      </c>
      <c r="AB123" s="141">
        <v>101.4</v>
      </c>
      <c r="AC123" s="141">
        <v>108.3</v>
      </c>
      <c r="AD123" s="141">
        <v>103.6</v>
      </c>
      <c r="AE123" s="141">
        <v>99.2</v>
      </c>
      <c r="AF123" s="141">
        <v>104.5</v>
      </c>
      <c r="AG123" s="141">
        <v>105.3</v>
      </c>
      <c r="AH123" s="141">
        <v>98.5</v>
      </c>
      <c r="AI123" s="141">
        <v>105.1</v>
      </c>
      <c r="AJ123" s="141">
        <v>111.4</v>
      </c>
      <c r="AK123" s="141">
        <v>114.6</v>
      </c>
      <c r="AL123" s="141">
        <v>106.2</v>
      </c>
      <c r="AM123" s="141">
        <v>110.7</v>
      </c>
      <c r="AN123" s="141">
        <v>107.3</v>
      </c>
      <c r="AO123" s="141">
        <v>117.1</v>
      </c>
      <c r="AP123" s="142">
        <v>111.7</v>
      </c>
    </row>
    <row r="124" spans="1:42" s="121" customFormat="1" x14ac:dyDescent="0.25">
      <c r="A124" s="140" cm="1">
        <f t="array" ref="A124:AP124">INDEX(INDICES,MATCH(EDATE(A123,1),'INDICES PRIX'!A:A,0),)</f>
        <v>44228</v>
      </c>
      <c r="B124" s="141">
        <v>104.5</v>
      </c>
      <c r="C124" s="141">
        <v>123.3</v>
      </c>
      <c r="D124" s="141">
        <v>123.7</v>
      </c>
      <c r="E124" s="141">
        <v>117.68414177312464</v>
      </c>
      <c r="F124" s="141">
        <v>115.5</v>
      </c>
      <c r="G124" s="141">
        <v>103.6</v>
      </c>
      <c r="H124" s="141">
        <v>108.8</v>
      </c>
      <c r="I124" s="141">
        <v>137.69999999999999</v>
      </c>
      <c r="J124" s="141">
        <v>96.1</v>
      </c>
      <c r="K124" s="141">
        <v>96.424912028356985</v>
      </c>
      <c r="L124" s="141">
        <v>100.5</v>
      </c>
      <c r="M124" s="141">
        <v>114.7</v>
      </c>
      <c r="N124" s="141">
        <v>105.9</v>
      </c>
      <c r="O124" s="141">
        <v>139.19999999999999</v>
      </c>
      <c r="P124" s="141">
        <v>104</v>
      </c>
      <c r="Q124" s="141">
        <v>98.4</v>
      </c>
      <c r="R124" s="141">
        <v>105.7</v>
      </c>
      <c r="S124" s="141">
        <v>117.3</v>
      </c>
      <c r="T124" s="141">
        <v>133.69999999999999</v>
      </c>
      <c r="U124" s="141">
        <v>142.80000000000001</v>
      </c>
      <c r="V124" s="141">
        <v>106.9</v>
      </c>
      <c r="W124" s="141">
        <v>101.2</v>
      </c>
      <c r="X124" s="141">
        <v>95.3</v>
      </c>
      <c r="Y124" s="141">
        <v>102.7</v>
      </c>
      <c r="Z124" s="141">
        <v>106.55241935483872</v>
      </c>
      <c r="AA124" s="141">
        <v>106.9</v>
      </c>
      <c r="AB124" s="141">
        <v>107.2</v>
      </c>
      <c r="AC124" s="141">
        <v>110.8</v>
      </c>
      <c r="AD124" s="141">
        <v>103.8</v>
      </c>
      <c r="AE124" s="141">
        <v>101</v>
      </c>
      <c r="AF124" s="141">
        <v>104.8</v>
      </c>
      <c r="AG124" s="141">
        <v>105.5</v>
      </c>
      <c r="AH124" s="141">
        <v>98.3</v>
      </c>
      <c r="AI124" s="141">
        <v>105.3</v>
      </c>
      <c r="AJ124" s="141">
        <v>108.6</v>
      </c>
      <c r="AK124" s="141">
        <v>123.1</v>
      </c>
      <c r="AL124" s="141">
        <v>113.7</v>
      </c>
      <c r="AM124" s="141">
        <v>111.3</v>
      </c>
      <c r="AN124" s="141">
        <v>107.01</v>
      </c>
      <c r="AO124" s="141">
        <v>117.5</v>
      </c>
      <c r="AP124" s="142">
        <v>111.9</v>
      </c>
    </row>
    <row r="125" spans="1:42" s="121" customFormat="1" x14ac:dyDescent="0.25">
      <c r="A125" s="140" cm="1">
        <f t="array" ref="A125:AP125">INDEX(INDICES,MATCH(EDATE(A124,1),'INDICES PRIX'!A:A,0),)</f>
        <v>44256</v>
      </c>
      <c r="B125" s="141">
        <v>107.6</v>
      </c>
      <c r="C125" s="141">
        <v>123.3</v>
      </c>
      <c r="D125" s="141">
        <v>123.9</v>
      </c>
      <c r="E125" s="141">
        <v>120.96232830659883</v>
      </c>
      <c r="F125" s="141">
        <v>118.85</v>
      </c>
      <c r="G125" s="141">
        <v>103.4</v>
      </c>
      <c r="H125" s="141">
        <v>109.5</v>
      </c>
      <c r="I125" s="141">
        <v>136.1</v>
      </c>
      <c r="J125" s="141">
        <v>86.2</v>
      </c>
      <c r="K125" s="141">
        <v>99.707901538530166</v>
      </c>
      <c r="L125" s="141">
        <v>101.2</v>
      </c>
      <c r="M125" s="141">
        <v>114.7</v>
      </c>
      <c r="N125" s="141">
        <v>106.2</v>
      </c>
      <c r="O125" s="141">
        <v>144.6</v>
      </c>
      <c r="P125" s="141">
        <v>104.8</v>
      </c>
      <c r="Q125" s="141">
        <v>101.6</v>
      </c>
      <c r="R125" s="141">
        <v>104.5</v>
      </c>
      <c r="S125" s="141">
        <v>118.6</v>
      </c>
      <c r="T125" s="141">
        <v>140.6</v>
      </c>
      <c r="U125" s="141">
        <v>152.1</v>
      </c>
      <c r="V125" s="141">
        <v>109</v>
      </c>
      <c r="W125" s="141">
        <v>101.2</v>
      </c>
      <c r="X125" s="141">
        <v>94.4</v>
      </c>
      <c r="Y125" s="141">
        <v>103.6</v>
      </c>
      <c r="Z125" s="141">
        <v>107.15725806451613</v>
      </c>
      <c r="AA125" s="141">
        <v>107.2</v>
      </c>
      <c r="AB125" s="141">
        <v>120.4</v>
      </c>
      <c r="AC125" s="141">
        <v>110.8</v>
      </c>
      <c r="AD125" s="141">
        <v>105.2</v>
      </c>
      <c r="AE125" s="141">
        <v>104.2</v>
      </c>
      <c r="AF125" s="141">
        <v>104.7</v>
      </c>
      <c r="AG125" s="141">
        <v>105.3</v>
      </c>
      <c r="AH125" s="141">
        <v>97.9</v>
      </c>
      <c r="AI125" s="141">
        <v>105.1</v>
      </c>
      <c r="AJ125" s="141">
        <v>108.6</v>
      </c>
      <c r="AK125" s="141">
        <v>123.6</v>
      </c>
      <c r="AL125" s="141">
        <v>116.9</v>
      </c>
      <c r="AM125" s="141">
        <v>110.6</v>
      </c>
      <c r="AN125" s="141">
        <v>107.86</v>
      </c>
      <c r="AO125" s="141">
        <v>117.6</v>
      </c>
      <c r="AP125" s="142">
        <v>117.1</v>
      </c>
    </row>
    <row r="126" spans="1:42" s="121" customFormat="1" x14ac:dyDescent="0.25">
      <c r="A126" s="140" cm="1">
        <f t="array" ref="A126:AP126">INDEX(INDICES,MATCH(EDATE(A125,1),'INDICES PRIX'!A:A,0),)</f>
        <v>44287</v>
      </c>
      <c r="B126" s="141">
        <v>107.8</v>
      </c>
      <c r="C126" s="141">
        <v>123</v>
      </c>
      <c r="D126" s="141">
        <v>123.6</v>
      </c>
      <c r="E126" s="141">
        <v>117.44998559216218</v>
      </c>
      <c r="F126" s="141">
        <v>117.92</v>
      </c>
      <c r="G126" s="141">
        <v>103.5</v>
      </c>
      <c r="H126" s="141">
        <v>109.5</v>
      </c>
      <c r="I126" s="141">
        <v>130.69999999999999</v>
      </c>
      <c r="J126" s="141">
        <v>91.3</v>
      </c>
      <c r="K126" s="141">
        <v>97.252541983489749</v>
      </c>
      <c r="L126" s="141">
        <v>104.9</v>
      </c>
      <c r="M126" s="141">
        <v>122.9</v>
      </c>
      <c r="N126" s="141">
        <v>106.4</v>
      </c>
      <c r="O126" s="141">
        <v>149.4</v>
      </c>
      <c r="P126" s="141">
        <v>104.2</v>
      </c>
      <c r="Q126" s="141">
        <v>108.1</v>
      </c>
      <c r="R126" s="141">
        <v>103.6</v>
      </c>
      <c r="S126" s="141">
        <v>119.5</v>
      </c>
      <c r="T126" s="141">
        <v>145.80000000000001</v>
      </c>
      <c r="U126" s="141">
        <v>157.80000000000001</v>
      </c>
      <c r="V126" s="141">
        <v>109.7</v>
      </c>
      <c r="W126" s="141">
        <v>101.6</v>
      </c>
      <c r="X126" s="141">
        <v>97.5</v>
      </c>
      <c r="Y126" s="141">
        <v>103.4</v>
      </c>
      <c r="Z126" s="141">
        <v>107.35887096774194</v>
      </c>
      <c r="AA126" s="141">
        <v>108.4</v>
      </c>
      <c r="AB126" s="141">
        <v>134.69999999999999</v>
      </c>
      <c r="AC126" s="141">
        <v>112.9</v>
      </c>
      <c r="AD126" s="141">
        <v>104.7</v>
      </c>
      <c r="AE126" s="141">
        <v>108.4</v>
      </c>
      <c r="AF126" s="141">
        <v>104.8</v>
      </c>
      <c r="AG126" s="141">
        <v>105.3</v>
      </c>
      <c r="AH126" s="141">
        <v>95.6</v>
      </c>
      <c r="AI126" s="141">
        <v>105.5</v>
      </c>
      <c r="AJ126" s="141">
        <v>109.3</v>
      </c>
      <c r="AK126" s="141">
        <v>126.1</v>
      </c>
      <c r="AL126" s="141">
        <v>133.30000000000001</v>
      </c>
      <c r="AM126" s="141">
        <v>112.6</v>
      </c>
      <c r="AN126" s="141">
        <v>107.33</v>
      </c>
      <c r="AO126" s="141">
        <v>117.8</v>
      </c>
      <c r="AP126" s="142">
        <v>117.6</v>
      </c>
    </row>
    <row r="127" spans="1:42" s="121" customFormat="1" x14ac:dyDescent="0.25">
      <c r="A127" s="140" cm="1">
        <f t="array" ref="A127:AP127">INDEX(INDICES,MATCH(EDATE(A126,1),'INDICES PRIX'!A:A,0),)</f>
        <v>44317</v>
      </c>
      <c r="B127" s="141">
        <v>107.2</v>
      </c>
      <c r="C127" s="141">
        <v>122.7</v>
      </c>
      <c r="D127" s="141">
        <v>123.3</v>
      </c>
      <c r="E127" s="141">
        <v>121.36177120353477</v>
      </c>
      <c r="F127" s="141">
        <v>119.24</v>
      </c>
      <c r="G127" s="141">
        <v>104.4</v>
      </c>
      <c r="H127" s="141">
        <v>109.5</v>
      </c>
      <c r="I127" s="141">
        <v>119.4</v>
      </c>
      <c r="J127" s="141">
        <v>107.7</v>
      </c>
      <c r="K127" s="141">
        <v>96.963473724732353</v>
      </c>
      <c r="L127" s="141">
        <v>107.6</v>
      </c>
      <c r="M127" s="141">
        <v>123.5</v>
      </c>
      <c r="N127" s="141">
        <v>106</v>
      </c>
      <c r="O127" s="141">
        <v>153.5</v>
      </c>
      <c r="P127" s="141">
        <v>104.1</v>
      </c>
      <c r="Q127" s="141">
        <v>111.7</v>
      </c>
      <c r="R127" s="141">
        <v>103.4</v>
      </c>
      <c r="S127" s="141">
        <v>120.9</v>
      </c>
      <c r="T127" s="141">
        <v>147.9</v>
      </c>
      <c r="U127" s="141">
        <v>156.1</v>
      </c>
      <c r="V127" s="141">
        <v>108.6</v>
      </c>
      <c r="W127" s="141">
        <v>101.3</v>
      </c>
      <c r="X127" s="141">
        <v>98.2</v>
      </c>
      <c r="Y127" s="141">
        <v>105.2</v>
      </c>
      <c r="Z127" s="141">
        <v>109.97983870967741</v>
      </c>
      <c r="AA127" s="141">
        <v>108.1</v>
      </c>
      <c r="AB127" s="141">
        <v>139.30000000000001</v>
      </c>
      <c r="AC127" s="141">
        <v>113.4</v>
      </c>
      <c r="AD127" s="141">
        <v>105.1</v>
      </c>
      <c r="AE127" s="141">
        <v>111.4</v>
      </c>
      <c r="AF127" s="141">
        <v>104.5</v>
      </c>
      <c r="AG127" s="141">
        <v>105.3</v>
      </c>
      <c r="AH127" s="141">
        <v>97.5</v>
      </c>
      <c r="AI127" s="141">
        <v>103.3</v>
      </c>
      <c r="AJ127" s="141">
        <v>111.3</v>
      </c>
      <c r="AK127" s="141">
        <v>127.8</v>
      </c>
      <c r="AL127" s="141">
        <v>137.6</v>
      </c>
      <c r="AM127" s="141">
        <v>113.4</v>
      </c>
      <c r="AN127" s="141">
        <v>107.21</v>
      </c>
      <c r="AO127" s="141">
        <v>117.9</v>
      </c>
      <c r="AP127" s="142">
        <v>119.1</v>
      </c>
    </row>
    <row r="128" spans="1:42" s="121" customFormat="1" x14ac:dyDescent="0.25">
      <c r="A128" s="140" cm="1">
        <f t="array" ref="A128:AP128">INDEX(INDICES,MATCH(EDATE(A127,1),'INDICES PRIX'!A:A,0),)</f>
        <v>44348</v>
      </c>
      <c r="B128" s="141">
        <v>107.8</v>
      </c>
      <c r="C128" s="141">
        <v>122.5</v>
      </c>
      <c r="D128" s="141">
        <v>123</v>
      </c>
      <c r="E128" s="141">
        <v>124.19919316107966</v>
      </c>
      <c r="F128" s="141">
        <v>121.32</v>
      </c>
      <c r="G128" s="141">
        <v>105</v>
      </c>
      <c r="H128" s="141">
        <v>110.6</v>
      </c>
      <c r="I128" s="141">
        <v>111</v>
      </c>
      <c r="J128" s="141">
        <v>129.69999999999999</v>
      </c>
      <c r="K128" s="141">
        <v>100.23097743532924</v>
      </c>
      <c r="L128" s="141">
        <v>115.2</v>
      </c>
      <c r="M128" s="141">
        <v>123.9</v>
      </c>
      <c r="N128" s="141">
        <v>105.6</v>
      </c>
      <c r="O128" s="141">
        <v>167.7</v>
      </c>
      <c r="P128" s="141">
        <v>104.1</v>
      </c>
      <c r="Q128" s="141">
        <v>116.7</v>
      </c>
      <c r="R128" s="141">
        <v>103.9</v>
      </c>
      <c r="S128" s="141">
        <v>122.5</v>
      </c>
      <c r="T128" s="141">
        <v>161.4</v>
      </c>
      <c r="U128" s="141">
        <v>156.6</v>
      </c>
      <c r="V128" s="141">
        <v>106.8</v>
      </c>
      <c r="W128" s="141">
        <v>101.1</v>
      </c>
      <c r="X128" s="141">
        <v>99.3</v>
      </c>
      <c r="Y128" s="141">
        <v>104.4</v>
      </c>
      <c r="Z128" s="141">
        <v>110.98790322580645</v>
      </c>
      <c r="AA128" s="141">
        <v>109.3</v>
      </c>
      <c r="AB128" s="141">
        <v>137.19999999999999</v>
      </c>
      <c r="AC128" s="141">
        <v>114.2</v>
      </c>
      <c r="AD128" s="141">
        <v>104.8</v>
      </c>
      <c r="AE128" s="141">
        <v>116.4</v>
      </c>
      <c r="AF128" s="141">
        <v>104.7</v>
      </c>
      <c r="AG128" s="141">
        <v>105.5</v>
      </c>
      <c r="AH128" s="141">
        <v>96.8</v>
      </c>
      <c r="AI128" s="141">
        <v>102.4</v>
      </c>
      <c r="AJ128" s="141">
        <v>113.3</v>
      </c>
      <c r="AK128" s="141">
        <v>136.9</v>
      </c>
      <c r="AL128" s="141">
        <v>144.6</v>
      </c>
      <c r="AM128" s="141">
        <v>115.2</v>
      </c>
      <c r="AN128" s="141">
        <v>108.37</v>
      </c>
      <c r="AO128" s="141">
        <v>118.1</v>
      </c>
      <c r="AP128" s="142">
        <v>122.4</v>
      </c>
    </row>
    <row r="129" spans="1:42" s="121" customFormat="1" x14ac:dyDescent="0.25">
      <c r="A129" s="140" cm="1">
        <f t="array" ref="A129:AP129">INDEX(INDICES,MATCH(EDATE(A128,1),'INDICES PRIX'!A:A,0),)</f>
        <v>44378</v>
      </c>
      <c r="B129" s="141">
        <v>108.3</v>
      </c>
      <c r="C129" s="141">
        <v>122.5</v>
      </c>
      <c r="D129" s="141">
        <v>123.1</v>
      </c>
      <c r="E129" s="141">
        <v>126.7198155796754</v>
      </c>
      <c r="F129" s="141">
        <v>123.71</v>
      </c>
      <c r="G129" s="141">
        <v>106.6</v>
      </c>
      <c r="H129" s="141">
        <v>110.6</v>
      </c>
      <c r="I129" s="141">
        <v>111.9</v>
      </c>
      <c r="J129" s="141">
        <v>153.9</v>
      </c>
      <c r="K129" s="141">
        <v>104.68228449131354</v>
      </c>
      <c r="L129" s="141">
        <v>120.6</v>
      </c>
      <c r="M129" s="141">
        <v>136.6</v>
      </c>
      <c r="N129" s="141">
        <v>106.7</v>
      </c>
      <c r="O129" s="141">
        <v>185.7</v>
      </c>
      <c r="P129" s="141">
        <v>104.1</v>
      </c>
      <c r="Q129" s="141">
        <v>118.8</v>
      </c>
      <c r="R129" s="141">
        <v>104.1</v>
      </c>
      <c r="S129" s="141">
        <v>124.3</v>
      </c>
      <c r="T129" s="141">
        <v>179.7</v>
      </c>
      <c r="U129" s="141">
        <v>165.2</v>
      </c>
      <c r="V129" s="141">
        <v>109</v>
      </c>
      <c r="W129" s="141">
        <v>101.8</v>
      </c>
      <c r="X129" s="141">
        <v>100.8</v>
      </c>
      <c r="Y129" s="141">
        <v>104.4</v>
      </c>
      <c r="Z129" s="141">
        <v>112.29838709677421</v>
      </c>
      <c r="AA129" s="141">
        <v>109.5</v>
      </c>
      <c r="AB129" s="141">
        <v>137.80000000000001</v>
      </c>
      <c r="AC129" s="141">
        <v>115.3</v>
      </c>
      <c r="AD129" s="141">
        <v>104.9</v>
      </c>
      <c r="AE129" s="141">
        <v>120.2</v>
      </c>
      <c r="AF129" s="141">
        <v>105.6</v>
      </c>
      <c r="AG129" s="141">
        <v>106.3</v>
      </c>
      <c r="AH129" s="141">
        <v>97.2</v>
      </c>
      <c r="AI129" s="141">
        <v>101.9</v>
      </c>
      <c r="AJ129" s="141">
        <v>114.1</v>
      </c>
      <c r="AK129" s="141">
        <v>143.6</v>
      </c>
      <c r="AL129" s="141">
        <v>168.9</v>
      </c>
      <c r="AM129" s="141">
        <v>117.8</v>
      </c>
      <c r="AN129" s="141">
        <v>110.94</v>
      </c>
      <c r="AO129" s="141">
        <v>118.1</v>
      </c>
      <c r="AP129" s="142">
        <v>123.2</v>
      </c>
    </row>
    <row r="130" spans="1:42" s="121" customFormat="1" x14ac:dyDescent="0.25">
      <c r="A130" s="140" cm="1">
        <f t="array" ref="A130:AP130">INDEX(INDICES,MATCH(EDATE(A129,1),'INDICES PRIX'!A:A,0),)</f>
        <v>44409</v>
      </c>
      <c r="B130" s="141">
        <v>108.2</v>
      </c>
      <c r="C130" s="141">
        <v>122.6</v>
      </c>
      <c r="D130" s="141">
        <v>123.1</v>
      </c>
      <c r="E130" s="141">
        <v>125.14959177792723</v>
      </c>
      <c r="F130" s="141">
        <v>122.96</v>
      </c>
      <c r="G130" s="141">
        <v>106.7</v>
      </c>
      <c r="H130" s="141">
        <v>110.6</v>
      </c>
      <c r="I130" s="141">
        <v>111.4</v>
      </c>
      <c r="J130" s="141">
        <v>190.4</v>
      </c>
      <c r="K130" s="141">
        <v>103.58316482349619</v>
      </c>
      <c r="L130" s="141">
        <v>122.3</v>
      </c>
      <c r="M130" s="141">
        <v>136.80000000000001</v>
      </c>
      <c r="N130" s="141">
        <v>108.3</v>
      </c>
      <c r="O130" s="141">
        <v>191.7</v>
      </c>
      <c r="P130" s="141">
        <v>104.9</v>
      </c>
      <c r="Q130" s="141">
        <v>121.1</v>
      </c>
      <c r="R130" s="141">
        <v>105.1</v>
      </c>
      <c r="S130" s="141">
        <v>129.69999999999999</v>
      </c>
      <c r="T130" s="141">
        <v>185.8</v>
      </c>
      <c r="U130" s="141">
        <v>167.9</v>
      </c>
      <c r="V130" s="141">
        <v>109.5</v>
      </c>
      <c r="W130" s="141">
        <v>101</v>
      </c>
      <c r="X130" s="141">
        <v>101.4</v>
      </c>
      <c r="Y130" s="141">
        <v>105.5</v>
      </c>
      <c r="Z130" s="141">
        <v>111.69354838709677</v>
      </c>
      <c r="AA130" s="141">
        <v>110.1</v>
      </c>
      <c r="AB130" s="141">
        <v>136.4</v>
      </c>
      <c r="AC130" s="141">
        <v>114.2</v>
      </c>
      <c r="AD130" s="141">
        <v>105.1</v>
      </c>
      <c r="AE130" s="141">
        <v>122.4</v>
      </c>
      <c r="AF130" s="141">
        <v>106.1</v>
      </c>
      <c r="AG130" s="141">
        <v>107</v>
      </c>
      <c r="AH130" s="141">
        <v>95.2</v>
      </c>
      <c r="AI130" s="141">
        <v>103.2</v>
      </c>
      <c r="AJ130" s="141">
        <v>120.7</v>
      </c>
      <c r="AK130" s="141">
        <v>146.9</v>
      </c>
      <c r="AL130" s="141">
        <v>171.2</v>
      </c>
      <c r="AM130" s="141">
        <v>120.1</v>
      </c>
      <c r="AN130" s="141">
        <v>113.93</v>
      </c>
      <c r="AO130" s="141">
        <v>118.3</v>
      </c>
      <c r="AP130" s="142">
        <v>124.3</v>
      </c>
    </row>
    <row r="131" spans="1:42" s="121" customFormat="1" x14ac:dyDescent="0.25">
      <c r="A131" s="143" cm="1">
        <f t="array" ref="A131:AP131">INDEX(INDICES,MATCH(EDATE(A130,1),'INDICES PRIX'!A:A,0),)</f>
        <v>44440</v>
      </c>
      <c r="B131" s="144">
        <v>108.6</v>
      </c>
      <c r="C131" s="144">
        <v>122.7</v>
      </c>
      <c r="D131" s="144">
        <v>123.1</v>
      </c>
      <c r="E131" s="144">
        <v>129.77761982518496</v>
      </c>
      <c r="F131" s="144">
        <v>124.37</v>
      </c>
      <c r="G131" s="144">
        <v>105.4</v>
      </c>
      <c r="H131" s="144">
        <v>110.5</v>
      </c>
      <c r="I131" s="144">
        <v>111.5</v>
      </c>
      <c r="J131" s="144">
        <v>249.5</v>
      </c>
      <c r="K131" s="144">
        <v>105.88777057859708</v>
      </c>
      <c r="L131" s="144">
        <v>123.4</v>
      </c>
      <c r="M131" s="144">
        <v>137.30000000000001</v>
      </c>
      <c r="N131" s="144">
        <v>105.5</v>
      </c>
      <c r="O131" s="144">
        <v>196.7</v>
      </c>
      <c r="P131" s="144">
        <v>104.6</v>
      </c>
      <c r="Q131" s="144">
        <v>120.7</v>
      </c>
      <c r="R131" s="144">
        <v>106</v>
      </c>
      <c r="S131" s="144">
        <v>134.1</v>
      </c>
      <c r="T131" s="144">
        <v>195.4</v>
      </c>
      <c r="U131" s="144">
        <v>173.6</v>
      </c>
      <c r="V131" s="144">
        <v>110</v>
      </c>
      <c r="W131" s="144">
        <v>103.2</v>
      </c>
      <c r="X131" s="144">
        <v>103.6</v>
      </c>
      <c r="Y131" s="144">
        <v>105.3</v>
      </c>
      <c r="Z131" s="144">
        <v>113.20564516129032</v>
      </c>
      <c r="AA131" s="144">
        <v>110.7</v>
      </c>
      <c r="AB131" s="144">
        <v>136.80000000000001</v>
      </c>
      <c r="AC131" s="144">
        <v>117.8</v>
      </c>
      <c r="AD131" s="144">
        <v>105.9</v>
      </c>
      <c r="AE131" s="144">
        <v>124</v>
      </c>
      <c r="AF131" s="144">
        <v>106.3</v>
      </c>
      <c r="AG131" s="144">
        <v>106.8</v>
      </c>
      <c r="AH131" s="144">
        <v>96.5</v>
      </c>
      <c r="AI131" s="144">
        <v>102.4</v>
      </c>
      <c r="AJ131" s="144">
        <v>118.7</v>
      </c>
      <c r="AK131" s="144">
        <v>150</v>
      </c>
      <c r="AL131" s="144">
        <v>179.6</v>
      </c>
      <c r="AM131" s="144">
        <v>121.4</v>
      </c>
      <c r="AN131" s="144">
        <v>110.01</v>
      </c>
      <c r="AO131" s="144">
        <v>118.2</v>
      </c>
      <c r="AP131" s="145">
        <v>123.4</v>
      </c>
    </row>
    <row r="132" spans="1:42" s="121" customFormat="1" x14ac:dyDescent="0.25">
      <c r="A132" s="136" t="s">
        <v>219</v>
      </c>
      <c r="B132" s="121">
        <f t="shared" ref="B132:AP132" si="7">SUM(B120:B131)</f>
        <v>1277.3999999999999</v>
      </c>
      <c r="C132" s="121">
        <f t="shared" si="7"/>
        <v>1476.3999999999999</v>
      </c>
      <c r="D132" s="121">
        <f t="shared" si="7"/>
        <v>1479.8999999999996</v>
      </c>
      <c r="E132" s="121">
        <f t="shared" si="7"/>
        <v>1391.1494188838733</v>
      </c>
      <c r="F132" s="121">
        <f t="shared" si="7"/>
        <v>1392.65</v>
      </c>
      <c r="G132" s="121">
        <f t="shared" si="7"/>
        <v>1250.6000000000001</v>
      </c>
      <c r="H132" s="121">
        <f t="shared" si="7"/>
        <v>1314.8</v>
      </c>
      <c r="I132" s="121">
        <f t="shared" si="7"/>
        <v>1457.2000000000003</v>
      </c>
      <c r="J132" s="121">
        <f t="shared" si="7"/>
        <v>1393.9</v>
      </c>
      <c r="K132" s="121">
        <f t="shared" si="7"/>
        <v>1135.1208399195652</v>
      </c>
      <c r="L132" s="121">
        <f t="shared" si="7"/>
        <v>1289.2</v>
      </c>
      <c r="M132" s="121">
        <f t="shared" si="7"/>
        <v>1451.6999999999998</v>
      </c>
      <c r="N132" s="121">
        <f t="shared" si="7"/>
        <v>1272.4000000000001</v>
      </c>
      <c r="O132" s="121">
        <f t="shared" si="7"/>
        <v>1798.7000000000003</v>
      </c>
      <c r="P132" s="121">
        <f t="shared" si="7"/>
        <v>1246.7</v>
      </c>
      <c r="Q132" s="121">
        <f t="shared" si="7"/>
        <v>1280.1000000000001</v>
      </c>
      <c r="R132" s="121">
        <f t="shared" si="7"/>
        <v>1249.5999999999999</v>
      </c>
      <c r="S132" s="121">
        <f t="shared" si="7"/>
        <v>1438.1</v>
      </c>
      <c r="T132" s="121">
        <f t="shared" si="7"/>
        <v>1741.7</v>
      </c>
      <c r="U132" s="121">
        <f t="shared" si="7"/>
        <v>1793.1</v>
      </c>
      <c r="V132" s="121">
        <f t="shared" si="7"/>
        <v>1291.8</v>
      </c>
      <c r="W132" s="121">
        <f t="shared" si="7"/>
        <v>1210.3999999999999</v>
      </c>
      <c r="X132" s="121">
        <f t="shared" si="7"/>
        <v>1166</v>
      </c>
      <c r="Y132" s="121">
        <f t="shared" si="7"/>
        <v>1244.8</v>
      </c>
      <c r="Z132" s="121">
        <f t="shared" si="7"/>
        <v>1293.0443548387098</v>
      </c>
      <c r="AA132" s="121">
        <f t="shared" si="7"/>
        <v>1298.8</v>
      </c>
      <c r="AB132" s="121">
        <f t="shared" si="7"/>
        <v>1432.3</v>
      </c>
      <c r="AC132" s="121">
        <f t="shared" si="7"/>
        <v>1339.1</v>
      </c>
      <c r="AD132" s="121">
        <f t="shared" si="7"/>
        <v>1251</v>
      </c>
      <c r="AE132" s="121">
        <f t="shared" si="7"/>
        <v>1296.9000000000001</v>
      </c>
      <c r="AF132" s="121">
        <f t="shared" si="7"/>
        <v>1257.0999999999999</v>
      </c>
      <c r="AG132" s="121">
        <f t="shared" si="7"/>
        <v>1264.2999999999997</v>
      </c>
      <c r="AH132" s="121">
        <f t="shared" si="7"/>
        <v>1169</v>
      </c>
      <c r="AI132" s="121">
        <f t="shared" si="7"/>
        <v>1251.8000000000002</v>
      </c>
      <c r="AJ132" s="121">
        <f t="shared" si="7"/>
        <v>1351.3</v>
      </c>
      <c r="AK132" s="121">
        <f t="shared" si="7"/>
        <v>1511.2</v>
      </c>
      <c r="AL132" s="121">
        <f t="shared" si="7"/>
        <v>1557.2</v>
      </c>
      <c r="AM132" s="121">
        <f t="shared" si="7"/>
        <v>1361.9</v>
      </c>
      <c r="AN132" s="121">
        <f t="shared" si="7"/>
        <v>1300.7100000000003</v>
      </c>
      <c r="AO132" s="121">
        <f t="shared" si="7"/>
        <v>1392.6</v>
      </c>
      <c r="AP132" s="121">
        <f t="shared" si="7"/>
        <v>1372.7</v>
      </c>
    </row>
    <row r="133" spans="1:42" s="121" customFormat="1" x14ac:dyDescent="0.25">
      <c r="A133" s="136"/>
    </row>
    <row r="134" spans="1:42" s="121" customFormat="1" x14ac:dyDescent="0.25">
      <c r="A134" s="136"/>
      <c r="B134" s="252" t="str">
        <f>"CUMULS EN N-2 ("&amp;TEXT(EDATE(DATE4,-24),"aaaa")&amp;")"</f>
        <v>CUMULS EN N-2 (2020)</v>
      </c>
      <c r="C134" s="252"/>
      <c r="D134" s="252"/>
    </row>
    <row r="135" spans="1:42" s="121" customFormat="1" x14ac:dyDescent="0.25">
      <c r="A135" s="138" cm="1">
        <f t="array" ref="A135:AP135">INDEX(INDICES,MATCH(EDATE(DATE4,-35),'INDICES PRIX'!A:A,0),)</f>
        <v>43739</v>
      </c>
      <c r="B135" s="55">
        <v>105.6</v>
      </c>
      <c r="C135" s="55">
        <v>123.5</v>
      </c>
      <c r="D135" s="55">
        <v>120</v>
      </c>
      <c r="E135" s="55">
        <v>127.38450719544376</v>
      </c>
      <c r="F135" s="55">
        <v>124.77</v>
      </c>
      <c r="G135" s="55">
        <v>103.7</v>
      </c>
      <c r="H135" s="55">
        <v>110.1</v>
      </c>
      <c r="I135" s="55">
        <v>109</v>
      </c>
      <c r="J135" s="55">
        <v>59.4</v>
      </c>
      <c r="K135" s="55">
        <v>98.647277646263106</v>
      </c>
      <c r="L135" s="55">
        <v>99.7</v>
      </c>
      <c r="M135" s="55">
        <v>107.8</v>
      </c>
      <c r="N135" s="55">
        <v>104.7</v>
      </c>
      <c r="O135" s="55">
        <v>114.1</v>
      </c>
      <c r="P135" s="55">
        <v>101.2</v>
      </c>
      <c r="Q135" s="55">
        <v>99.2</v>
      </c>
      <c r="R135" s="55">
        <v>101.4</v>
      </c>
      <c r="S135" s="55">
        <v>107.6</v>
      </c>
      <c r="T135" s="55">
        <v>111.7</v>
      </c>
      <c r="U135" s="55">
        <v>147</v>
      </c>
      <c r="V135" s="55">
        <v>101.5</v>
      </c>
      <c r="W135" s="55">
        <v>99.8</v>
      </c>
      <c r="X135" s="55">
        <v>95.4</v>
      </c>
      <c r="Y135" s="55">
        <v>101.3</v>
      </c>
      <c r="Z135" s="55">
        <v>107.35887096774194</v>
      </c>
      <c r="AA135" s="55">
        <v>105.9</v>
      </c>
      <c r="AB135" s="55">
        <v>100.3</v>
      </c>
      <c r="AC135" s="55">
        <v>108.5</v>
      </c>
      <c r="AD135" s="55">
        <v>101.3</v>
      </c>
      <c r="AE135" s="55">
        <v>92.2</v>
      </c>
      <c r="AF135" s="55">
        <v>103.1</v>
      </c>
      <c r="AG135" s="55">
        <v>101.8</v>
      </c>
      <c r="AH135" s="55">
        <v>97</v>
      </c>
      <c r="AI135" s="55">
        <v>107.7</v>
      </c>
      <c r="AJ135" s="55">
        <v>109.9</v>
      </c>
      <c r="AK135" s="55">
        <v>109.9</v>
      </c>
      <c r="AL135" s="55">
        <v>96.9</v>
      </c>
      <c r="AM135" s="55">
        <v>107.6</v>
      </c>
      <c r="AN135" s="55">
        <v>106.93</v>
      </c>
      <c r="AO135" s="55">
        <v>109.2</v>
      </c>
      <c r="AP135" s="8">
        <v>97.8</v>
      </c>
    </row>
    <row r="136" spans="1:42" s="121" customFormat="1" x14ac:dyDescent="0.25">
      <c r="A136" s="140" cm="1">
        <f t="array" ref="A136:AP136">INDEX(INDICES,MATCH(EDATE(A135,1),'INDICES PRIX'!A:A,0),)</f>
        <v>43770</v>
      </c>
      <c r="B136" s="141">
        <v>105.1</v>
      </c>
      <c r="C136" s="141">
        <v>123.7</v>
      </c>
      <c r="D136" s="141">
        <v>120</v>
      </c>
      <c r="E136" s="141">
        <v>127.28051984263115</v>
      </c>
      <c r="F136" s="141">
        <v>124.82</v>
      </c>
      <c r="G136" s="141">
        <v>103.3</v>
      </c>
      <c r="H136" s="141">
        <v>110.1</v>
      </c>
      <c r="I136" s="141">
        <v>118.1</v>
      </c>
      <c r="J136" s="141">
        <v>75.5</v>
      </c>
      <c r="K136" s="141">
        <v>89.888400405816711</v>
      </c>
      <c r="L136" s="141">
        <v>99.9</v>
      </c>
      <c r="M136" s="141">
        <v>107.8</v>
      </c>
      <c r="N136" s="141">
        <v>104.5</v>
      </c>
      <c r="O136" s="141">
        <v>111.3</v>
      </c>
      <c r="P136" s="141">
        <v>101</v>
      </c>
      <c r="Q136" s="141">
        <v>98.8</v>
      </c>
      <c r="R136" s="141">
        <v>101.7</v>
      </c>
      <c r="S136" s="141">
        <v>110.4</v>
      </c>
      <c r="T136" s="141">
        <v>109.4</v>
      </c>
      <c r="U136" s="141">
        <v>131.69999999999999</v>
      </c>
      <c r="V136" s="141">
        <v>101.3</v>
      </c>
      <c r="W136" s="141">
        <v>98.4</v>
      </c>
      <c r="X136" s="141">
        <v>94.5</v>
      </c>
      <c r="Y136" s="141">
        <v>101.2</v>
      </c>
      <c r="Z136" s="141">
        <v>107.35887096774194</v>
      </c>
      <c r="AA136" s="141">
        <v>105.8</v>
      </c>
      <c r="AB136" s="141">
        <v>97.8</v>
      </c>
      <c r="AC136" s="141">
        <v>109.2</v>
      </c>
      <c r="AD136" s="141">
        <v>101.6</v>
      </c>
      <c r="AE136" s="141">
        <v>94.6</v>
      </c>
      <c r="AF136" s="141">
        <v>103.2</v>
      </c>
      <c r="AG136" s="141">
        <v>101.8</v>
      </c>
      <c r="AH136" s="141">
        <v>96.3</v>
      </c>
      <c r="AI136" s="141">
        <v>107.6</v>
      </c>
      <c r="AJ136" s="141">
        <v>109</v>
      </c>
      <c r="AK136" s="141">
        <v>108.5</v>
      </c>
      <c r="AL136" s="141">
        <v>93.9</v>
      </c>
      <c r="AM136" s="141">
        <v>107.4</v>
      </c>
      <c r="AN136" s="141">
        <v>106.27</v>
      </c>
      <c r="AO136" s="141">
        <v>109.2</v>
      </c>
      <c r="AP136" s="142">
        <v>98.1</v>
      </c>
    </row>
    <row r="137" spans="1:42" s="121" customFormat="1" x14ac:dyDescent="0.25">
      <c r="A137" s="140" cm="1">
        <f t="array" ref="A137:AP137">INDEX(INDICES,MATCH(EDATE(A136,1),'INDICES PRIX'!A:A,0),)</f>
        <v>43800</v>
      </c>
      <c r="B137" s="141">
        <v>104.6</v>
      </c>
      <c r="C137" s="141">
        <v>123.9</v>
      </c>
      <c r="D137" s="141">
        <v>120.1</v>
      </c>
      <c r="E137" s="141">
        <v>125.63951394619112</v>
      </c>
      <c r="F137" s="141">
        <v>126.67</v>
      </c>
      <c r="G137" s="141">
        <v>104</v>
      </c>
      <c r="H137" s="141">
        <v>110.5</v>
      </c>
      <c r="I137" s="141">
        <v>125</v>
      </c>
      <c r="J137" s="141">
        <v>74.2</v>
      </c>
      <c r="K137" s="141">
        <v>86.608048698004751</v>
      </c>
      <c r="L137" s="141">
        <v>101.2</v>
      </c>
      <c r="M137" s="141">
        <v>107.8</v>
      </c>
      <c r="N137" s="141">
        <v>104.8</v>
      </c>
      <c r="O137" s="141">
        <v>111.2</v>
      </c>
      <c r="P137" s="141">
        <v>100.7</v>
      </c>
      <c r="Q137" s="141">
        <v>98.4</v>
      </c>
      <c r="R137" s="141">
        <v>101.8</v>
      </c>
      <c r="S137" s="141">
        <v>111.3</v>
      </c>
      <c r="T137" s="141">
        <v>108.4</v>
      </c>
      <c r="U137" s="141">
        <v>126.8</v>
      </c>
      <c r="V137" s="141">
        <v>101.5</v>
      </c>
      <c r="W137" s="141">
        <v>98</v>
      </c>
      <c r="X137" s="141">
        <v>95.2</v>
      </c>
      <c r="Y137" s="141">
        <v>100.2</v>
      </c>
      <c r="Z137" s="141">
        <v>105.64516129032258</v>
      </c>
      <c r="AA137" s="141">
        <v>105.6</v>
      </c>
      <c r="AB137" s="141">
        <v>97.3</v>
      </c>
      <c r="AC137" s="141">
        <v>107.8</v>
      </c>
      <c r="AD137" s="141">
        <v>101.5</v>
      </c>
      <c r="AE137" s="141">
        <v>95.5</v>
      </c>
      <c r="AF137" s="141">
        <v>103.1</v>
      </c>
      <c r="AG137" s="141">
        <v>101.6</v>
      </c>
      <c r="AH137" s="141">
        <v>96.2</v>
      </c>
      <c r="AI137" s="141">
        <v>107.2</v>
      </c>
      <c r="AJ137" s="141">
        <v>108.1</v>
      </c>
      <c r="AK137" s="141">
        <v>107.1</v>
      </c>
      <c r="AL137" s="141">
        <v>92</v>
      </c>
      <c r="AM137" s="141">
        <v>108.5</v>
      </c>
      <c r="AN137" s="141">
        <v>106.62</v>
      </c>
      <c r="AO137" s="141">
        <v>108.9</v>
      </c>
      <c r="AP137" s="142">
        <v>98.4</v>
      </c>
    </row>
    <row r="138" spans="1:42" s="121" customFormat="1" x14ac:dyDescent="0.25">
      <c r="A138" s="140" cm="1">
        <f t="array" ref="A138:AP138">INDEX(INDICES,MATCH(EDATE(A137,1),'INDICES PRIX'!A:A,0),)</f>
        <v>43831</v>
      </c>
      <c r="B138" s="141">
        <v>104.7</v>
      </c>
      <c r="C138" s="141">
        <v>123.7</v>
      </c>
      <c r="D138" s="141">
        <v>120.1</v>
      </c>
      <c r="E138" s="141">
        <v>128.96496013831526</v>
      </c>
      <c r="F138" s="141">
        <v>127.51</v>
      </c>
      <c r="G138" s="141">
        <v>103.4</v>
      </c>
      <c r="H138" s="141">
        <v>110.5</v>
      </c>
      <c r="I138" s="141">
        <v>129.69999999999999</v>
      </c>
      <c r="J138" s="141">
        <v>65.900000000000006</v>
      </c>
      <c r="K138" s="141">
        <v>96.41528576259725</v>
      </c>
      <c r="L138" s="141">
        <v>100.4</v>
      </c>
      <c r="M138" s="141">
        <v>107.1</v>
      </c>
      <c r="N138" s="141">
        <v>105.2</v>
      </c>
      <c r="O138" s="141">
        <v>112.6</v>
      </c>
      <c r="P138" s="141">
        <v>101.7</v>
      </c>
      <c r="Q138" s="141">
        <v>97.7</v>
      </c>
      <c r="R138" s="141">
        <v>103.4</v>
      </c>
      <c r="S138" s="141">
        <v>112.7</v>
      </c>
      <c r="T138" s="141">
        <v>110</v>
      </c>
      <c r="U138" s="141">
        <v>141.9</v>
      </c>
      <c r="V138" s="141">
        <v>101.8</v>
      </c>
      <c r="W138" s="141">
        <v>100.7</v>
      </c>
      <c r="X138" s="141">
        <v>94.2</v>
      </c>
      <c r="Y138" s="141">
        <v>101.6</v>
      </c>
      <c r="Z138" s="141">
        <v>104.33467741935483</v>
      </c>
      <c r="AA138" s="141">
        <v>106</v>
      </c>
      <c r="AB138" s="141">
        <v>96</v>
      </c>
      <c r="AC138" s="141">
        <v>106</v>
      </c>
      <c r="AD138" s="141">
        <v>102.5</v>
      </c>
      <c r="AE138" s="141">
        <v>96</v>
      </c>
      <c r="AF138" s="141">
        <v>104.2</v>
      </c>
      <c r="AG138" s="141">
        <v>103</v>
      </c>
      <c r="AH138" s="141">
        <v>96.4</v>
      </c>
      <c r="AI138" s="141">
        <v>107</v>
      </c>
      <c r="AJ138" s="141">
        <v>110.4</v>
      </c>
      <c r="AK138" s="141">
        <v>107.8</v>
      </c>
      <c r="AL138" s="141">
        <v>93.5</v>
      </c>
      <c r="AM138" s="141">
        <v>108.6</v>
      </c>
      <c r="AN138" s="141">
        <v>107.52</v>
      </c>
      <c r="AO138" s="141">
        <v>112.1</v>
      </c>
      <c r="AP138" s="142">
        <v>100.4</v>
      </c>
    </row>
    <row r="139" spans="1:42" s="121" customFormat="1" x14ac:dyDescent="0.25">
      <c r="A139" s="140" cm="1">
        <f t="array" ref="A139:AP139">INDEX(INDICES,MATCH(EDATE(A138,1),'INDICES PRIX'!A:A,0),)</f>
        <v>43862</v>
      </c>
      <c r="B139" s="141">
        <v>105.5</v>
      </c>
      <c r="C139" s="141">
        <v>123.5</v>
      </c>
      <c r="D139" s="141">
        <v>120.2</v>
      </c>
      <c r="E139" s="141">
        <v>120.56288540966285</v>
      </c>
      <c r="F139" s="141">
        <v>121.26</v>
      </c>
      <c r="G139" s="141">
        <v>103.9</v>
      </c>
      <c r="H139" s="141">
        <v>110.5</v>
      </c>
      <c r="I139" s="141">
        <v>131.69999999999999</v>
      </c>
      <c r="J139" s="141">
        <v>52.2</v>
      </c>
      <c r="K139" s="141">
        <v>93.878931349340561</v>
      </c>
      <c r="L139" s="141">
        <v>100.2</v>
      </c>
      <c r="M139" s="141">
        <v>106.9</v>
      </c>
      <c r="N139" s="141">
        <v>103.7</v>
      </c>
      <c r="O139" s="141">
        <v>113.5</v>
      </c>
      <c r="P139" s="141">
        <v>102.5</v>
      </c>
      <c r="Q139" s="141">
        <v>97.1</v>
      </c>
      <c r="R139" s="141">
        <v>103</v>
      </c>
      <c r="S139" s="141">
        <v>112.4</v>
      </c>
      <c r="T139" s="141">
        <v>111</v>
      </c>
      <c r="U139" s="141">
        <v>151.30000000000001</v>
      </c>
      <c r="V139" s="141">
        <v>105.1</v>
      </c>
      <c r="W139" s="141">
        <v>100.8</v>
      </c>
      <c r="X139" s="141">
        <v>93.7</v>
      </c>
      <c r="Y139" s="141">
        <v>102.2</v>
      </c>
      <c r="Z139" s="141">
        <v>105.14112903225806</v>
      </c>
      <c r="AA139" s="141">
        <v>105.7</v>
      </c>
      <c r="AB139" s="141">
        <v>97.1</v>
      </c>
      <c r="AC139" s="141">
        <v>105.2</v>
      </c>
      <c r="AD139" s="141">
        <v>103.3</v>
      </c>
      <c r="AE139" s="141">
        <v>96.2</v>
      </c>
      <c r="AF139" s="141">
        <v>104.3</v>
      </c>
      <c r="AG139" s="141">
        <v>103.1</v>
      </c>
      <c r="AH139" s="141">
        <v>96.6</v>
      </c>
      <c r="AI139" s="141">
        <v>107.2</v>
      </c>
      <c r="AJ139" s="141">
        <v>108.9</v>
      </c>
      <c r="AK139" s="141">
        <v>105.6</v>
      </c>
      <c r="AL139" s="141">
        <v>92.4</v>
      </c>
      <c r="AM139" s="141">
        <v>108.6</v>
      </c>
      <c r="AN139" s="141">
        <v>107.05</v>
      </c>
      <c r="AO139" s="141">
        <v>112.1</v>
      </c>
      <c r="AP139" s="142">
        <v>99.5</v>
      </c>
    </row>
    <row r="140" spans="1:42" s="121" customFormat="1" x14ac:dyDescent="0.25">
      <c r="A140" s="140" cm="1">
        <f t="array" ref="A140:AP140">INDEX(INDICES,MATCH(EDATE(A139,1),'INDICES PRIX'!A:A,0),)</f>
        <v>43891</v>
      </c>
      <c r="B140" s="141">
        <v>105.3</v>
      </c>
      <c r="C140" s="141">
        <v>123.3</v>
      </c>
      <c r="D140" s="141">
        <v>120.3</v>
      </c>
      <c r="E140" s="141">
        <v>103.85515320334262</v>
      </c>
      <c r="F140" s="141">
        <v>112.7</v>
      </c>
      <c r="G140" s="141">
        <v>103.2</v>
      </c>
      <c r="H140" s="141">
        <v>111.4</v>
      </c>
      <c r="I140" s="141">
        <v>129.1</v>
      </c>
      <c r="J140" s="141">
        <v>43.9</v>
      </c>
      <c r="K140" s="141">
        <v>67.568481569157939</v>
      </c>
      <c r="L140" s="141">
        <v>100.8</v>
      </c>
      <c r="M140" s="141">
        <v>107</v>
      </c>
      <c r="N140" s="141">
        <v>103.5</v>
      </c>
      <c r="O140" s="141">
        <v>112.3</v>
      </c>
      <c r="P140" s="141">
        <v>102.4</v>
      </c>
      <c r="Q140" s="141">
        <v>97.3</v>
      </c>
      <c r="R140" s="141">
        <v>104.4</v>
      </c>
      <c r="S140" s="141">
        <v>110.4</v>
      </c>
      <c r="T140" s="141">
        <v>110.5</v>
      </c>
      <c r="U140" s="141">
        <v>146.19999999999999</v>
      </c>
      <c r="V140" s="141">
        <v>104.3</v>
      </c>
      <c r="W140" s="141">
        <v>98.4</v>
      </c>
      <c r="X140" s="141">
        <v>94.6</v>
      </c>
      <c r="Y140" s="141">
        <v>102.5</v>
      </c>
      <c r="Z140" s="141">
        <v>104.63709677419355</v>
      </c>
      <c r="AA140" s="141">
        <v>105.6</v>
      </c>
      <c r="AB140" s="141">
        <v>95.9</v>
      </c>
      <c r="AC140" s="141">
        <v>106</v>
      </c>
      <c r="AD140" s="141">
        <v>103.4</v>
      </c>
      <c r="AE140" s="141">
        <v>96.1</v>
      </c>
      <c r="AF140" s="141">
        <v>103.7</v>
      </c>
      <c r="AG140" s="141">
        <v>102.3</v>
      </c>
      <c r="AH140" s="141">
        <v>96.7</v>
      </c>
      <c r="AI140" s="141">
        <v>107</v>
      </c>
      <c r="AJ140" s="141">
        <v>109.9</v>
      </c>
      <c r="AK140" s="141">
        <v>106.1</v>
      </c>
      <c r="AL140" s="141">
        <v>91.3</v>
      </c>
      <c r="AM140" s="141">
        <v>108.8</v>
      </c>
      <c r="AN140" s="141">
        <v>107.38</v>
      </c>
      <c r="AO140" s="141">
        <v>112.9</v>
      </c>
      <c r="AP140" s="142">
        <v>100</v>
      </c>
    </row>
    <row r="141" spans="1:42" s="121" customFormat="1" x14ac:dyDescent="0.25">
      <c r="A141" s="140" cm="1">
        <f t="array" ref="A141:AP141">INDEX(INDICES,MATCH(EDATE(A140,1),'INDICES PRIX'!A:A,0),)</f>
        <v>43922</v>
      </c>
      <c r="B141" s="141">
        <v>105.5</v>
      </c>
      <c r="C141" s="141">
        <v>123.6</v>
      </c>
      <c r="D141" s="141">
        <v>120.8</v>
      </c>
      <c r="E141" s="141">
        <v>92.243761406204982</v>
      </c>
      <c r="F141" s="141">
        <v>105.41</v>
      </c>
      <c r="G141" s="141">
        <v>102.7</v>
      </c>
      <c r="H141" s="141">
        <v>111.4</v>
      </c>
      <c r="I141" s="141">
        <v>124.2</v>
      </c>
      <c r="J141" s="141">
        <v>38.6</v>
      </c>
      <c r="K141" s="141">
        <v>50.96381467703754</v>
      </c>
      <c r="L141" s="141">
        <v>100.7</v>
      </c>
      <c r="M141" s="141">
        <v>106.4</v>
      </c>
      <c r="N141" s="141">
        <v>102.7</v>
      </c>
      <c r="O141" s="141">
        <v>112.1</v>
      </c>
      <c r="P141" s="141">
        <v>103.8</v>
      </c>
      <c r="Q141" s="141">
        <v>98.1</v>
      </c>
      <c r="R141" s="141">
        <v>101.8</v>
      </c>
      <c r="S141" s="141">
        <v>111.5</v>
      </c>
      <c r="T141" s="141">
        <v>110.4</v>
      </c>
      <c r="U141" s="141">
        <v>113.5</v>
      </c>
      <c r="V141" s="141">
        <v>104.8</v>
      </c>
      <c r="W141" s="141">
        <v>102.2</v>
      </c>
      <c r="X141" s="141">
        <v>93.5</v>
      </c>
      <c r="Y141" s="141">
        <v>104.1</v>
      </c>
      <c r="Z141" s="141">
        <v>103.125</v>
      </c>
      <c r="AA141" s="141">
        <v>105.5</v>
      </c>
      <c r="AB141" s="141">
        <v>90.4</v>
      </c>
      <c r="AC141" s="141">
        <v>105.5</v>
      </c>
      <c r="AD141" s="141">
        <v>103.6</v>
      </c>
      <c r="AE141" s="141">
        <v>95.6</v>
      </c>
      <c r="AF141" s="141">
        <v>102.8</v>
      </c>
      <c r="AG141" s="141">
        <v>102.2</v>
      </c>
      <c r="AH141" s="141">
        <v>97.1</v>
      </c>
      <c r="AI141" s="141">
        <v>106.8</v>
      </c>
      <c r="AJ141" s="141">
        <v>111.3</v>
      </c>
      <c r="AK141" s="141">
        <v>106.2</v>
      </c>
      <c r="AL141" s="141">
        <v>91.4</v>
      </c>
      <c r="AM141" s="141">
        <v>109.2</v>
      </c>
      <c r="AN141" s="141">
        <v>106.44</v>
      </c>
      <c r="AO141" s="141">
        <v>113.3</v>
      </c>
      <c r="AP141" s="142">
        <v>99.6</v>
      </c>
    </row>
    <row r="142" spans="1:42" s="121" customFormat="1" x14ac:dyDescent="0.25">
      <c r="A142" s="140" cm="1">
        <f t="array" ref="A142:AP142">INDEX(INDICES,MATCH(EDATE(A141,1),'INDICES PRIX'!A:A,0),)</f>
        <v>43952</v>
      </c>
      <c r="B142" s="141">
        <v>104.9</v>
      </c>
      <c r="C142" s="141">
        <v>123.8</v>
      </c>
      <c r="D142" s="141">
        <v>121.4</v>
      </c>
      <c r="E142" s="141">
        <v>92.932456056094523</v>
      </c>
      <c r="F142" s="141">
        <v>101.14</v>
      </c>
      <c r="G142" s="141">
        <v>103.1</v>
      </c>
      <c r="H142" s="141">
        <v>111.4</v>
      </c>
      <c r="I142" s="141">
        <v>113.8</v>
      </c>
      <c r="J142" s="141">
        <v>29.4</v>
      </c>
      <c r="K142" s="141">
        <v>55.393980385525879</v>
      </c>
      <c r="L142" s="141">
        <v>100.3</v>
      </c>
      <c r="M142" s="141">
        <v>106.5</v>
      </c>
      <c r="N142" s="141">
        <v>104.4</v>
      </c>
      <c r="O142" s="141">
        <v>111.3</v>
      </c>
      <c r="P142" s="141">
        <v>104.3</v>
      </c>
      <c r="Q142" s="141">
        <v>96</v>
      </c>
      <c r="R142" s="141">
        <v>102</v>
      </c>
      <c r="S142" s="141">
        <v>111.4</v>
      </c>
      <c r="T142" s="141">
        <v>109.1</v>
      </c>
      <c r="U142" s="141">
        <v>109.9</v>
      </c>
      <c r="V142" s="141">
        <v>104.5</v>
      </c>
      <c r="W142" s="141">
        <v>102</v>
      </c>
      <c r="X142" s="141">
        <v>94.3</v>
      </c>
      <c r="Y142" s="141">
        <v>103.5</v>
      </c>
      <c r="Z142" s="141">
        <v>103.72983870967742</v>
      </c>
      <c r="AA142" s="141">
        <v>105.8</v>
      </c>
      <c r="AB142" s="141">
        <v>84.5</v>
      </c>
      <c r="AC142" s="141">
        <v>106</v>
      </c>
      <c r="AD142" s="141">
        <v>103.9</v>
      </c>
      <c r="AE142" s="141">
        <v>95</v>
      </c>
      <c r="AF142" s="141">
        <v>102.9</v>
      </c>
      <c r="AG142" s="141">
        <v>102.4</v>
      </c>
      <c r="AH142" s="141">
        <v>96.1</v>
      </c>
      <c r="AI142" s="141">
        <v>107.1</v>
      </c>
      <c r="AJ142" s="141">
        <v>110.1</v>
      </c>
      <c r="AK142" s="141">
        <v>107.9</v>
      </c>
      <c r="AL142" s="141">
        <v>95.1</v>
      </c>
      <c r="AM142" s="141">
        <v>109.1</v>
      </c>
      <c r="AN142" s="141">
        <v>107.23</v>
      </c>
      <c r="AO142" s="141">
        <v>112.6</v>
      </c>
      <c r="AP142" s="142">
        <v>100.4</v>
      </c>
    </row>
    <row r="143" spans="1:42" s="121" customFormat="1" x14ac:dyDescent="0.25">
      <c r="A143" s="140" cm="1">
        <f t="array" ref="A143:AP143">INDEX(INDICES,MATCH(EDATE(A142,1),'INDICES PRIX'!A:A,0),)</f>
        <v>43983</v>
      </c>
      <c r="B143" s="141">
        <v>103</v>
      </c>
      <c r="C143" s="141">
        <v>124</v>
      </c>
      <c r="D143" s="141">
        <v>121.9</v>
      </c>
      <c r="E143" s="141">
        <v>98.758812794160036</v>
      </c>
      <c r="F143" s="141">
        <v>104.55</v>
      </c>
      <c r="G143" s="141">
        <v>104</v>
      </c>
      <c r="H143" s="141">
        <v>107.5</v>
      </c>
      <c r="I143" s="141">
        <v>107.3</v>
      </c>
      <c r="J143" s="141">
        <v>24.6</v>
      </c>
      <c r="K143" s="141">
        <v>74.737910043963481</v>
      </c>
      <c r="L143" s="141">
        <v>99.7</v>
      </c>
      <c r="M143" s="141">
        <v>106.5</v>
      </c>
      <c r="N143" s="141">
        <v>105.4</v>
      </c>
      <c r="O143" s="141">
        <v>109.7</v>
      </c>
      <c r="P143" s="141">
        <v>103.3</v>
      </c>
      <c r="Q143" s="141">
        <v>94.2</v>
      </c>
      <c r="R143" s="141">
        <v>102.5</v>
      </c>
      <c r="S143" s="141">
        <v>110.3</v>
      </c>
      <c r="T143" s="141">
        <v>108</v>
      </c>
      <c r="U143" s="141">
        <v>120.6</v>
      </c>
      <c r="V143" s="141">
        <v>105.4</v>
      </c>
      <c r="W143" s="141">
        <v>100.9</v>
      </c>
      <c r="X143" s="141">
        <v>95.3</v>
      </c>
      <c r="Y143" s="141">
        <v>103.9</v>
      </c>
      <c r="Z143" s="141">
        <v>103.83064516129032</v>
      </c>
      <c r="AA143" s="141">
        <v>106.6</v>
      </c>
      <c r="AB143" s="141">
        <v>86.1</v>
      </c>
      <c r="AC143" s="141">
        <v>104.9</v>
      </c>
      <c r="AD143" s="141">
        <v>104</v>
      </c>
      <c r="AE143" s="141">
        <v>92.8</v>
      </c>
      <c r="AF143" s="141">
        <v>103.1</v>
      </c>
      <c r="AG143" s="141">
        <v>102.9</v>
      </c>
      <c r="AH143" s="141">
        <v>98.1</v>
      </c>
      <c r="AI143" s="141">
        <v>106.6</v>
      </c>
      <c r="AJ143" s="141">
        <v>109.4</v>
      </c>
      <c r="AK143" s="141">
        <v>106.3</v>
      </c>
      <c r="AL143" s="141">
        <v>92.9</v>
      </c>
      <c r="AM143" s="141">
        <v>109.1</v>
      </c>
      <c r="AN143" s="141">
        <v>108.12</v>
      </c>
      <c r="AO143" s="141">
        <v>112.5</v>
      </c>
      <c r="AP143" s="142">
        <v>99.5</v>
      </c>
    </row>
    <row r="144" spans="1:42" s="121" customFormat="1" x14ac:dyDescent="0.25">
      <c r="A144" s="140" cm="1">
        <f t="array" ref="A144:AP144">INDEX(INDICES,MATCH(EDATE(A143,1),'INDICES PRIX'!A:A,0),)</f>
        <v>44013</v>
      </c>
      <c r="B144" s="141">
        <v>102.6</v>
      </c>
      <c r="C144" s="141">
        <v>123.8</v>
      </c>
      <c r="D144" s="141">
        <v>122.1</v>
      </c>
      <c r="E144" s="141">
        <v>100.37035827490156</v>
      </c>
      <c r="F144" s="141">
        <v>107.19</v>
      </c>
      <c r="G144" s="141">
        <v>104.6</v>
      </c>
      <c r="H144" s="141">
        <v>107.5</v>
      </c>
      <c r="I144" s="141">
        <v>106.2</v>
      </c>
      <c r="J144" s="141">
        <v>25.3</v>
      </c>
      <c r="K144" s="141">
        <v>76.962703249756942</v>
      </c>
      <c r="L144" s="141">
        <v>99.7</v>
      </c>
      <c r="M144" s="141">
        <v>106.9</v>
      </c>
      <c r="N144" s="141">
        <v>105.6</v>
      </c>
      <c r="O144" s="141">
        <v>108</v>
      </c>
      <c r="P144" s="141">
        <v>103.2</v>
      </c>
      <c r="Q144" s="141">
        <v>94.1</v>
      </c>
      <c r="R144" s="141">
        <v>102</v>
      </c>
      <c r="S144" s="141">
        <v>111.5</v>
      </c>
      <c r="T144" s="141">
        <v>106.8</v>
      </c>
      <c r="U144" s="141">
        <v>147.80000000000001</v>
      </c>
      <c r="V144" s="141">
        <v>105.7</v>
      </c>
      <c r="W144" s="141">
        <v>100.8</v>
      </c>
      <c r="X144" s="141">
        <v>93.7</v>
      </c>
      <c r="Y144" s="141">
        <v>103.9</v>
      </c>
      <c r="Z144" s="141">
        <v>103.72983870967742</v>
      </c>
      <c r="AA144" s="141">
        <v>106.6</v>
      </c>
      <c r="AB144" s="141">
        <v>89.7</v>
      </c>
      <c r="AC144" s="141">
        <v>104.9</v>
      </c>
      <c r="AD144" s="141">
        <v>103.6</v>
      </c>
      <c r="AE144" s="141">
        <v>93.5</v>
      </c>
      <c r="AF144" s="141">
        <v>103.3</v>
      </c>
      <c r="AG144" s="141">
        <v>103.5</v>
      </c>
      <c r="AH144" s="141">
        <v>98.1</v>
      </c>
      <c r="AI144" s="141">
        <v>106.4</v>
      </c>
      <c r="AJ144" s="141">
        <v>111.5</v>
      </c>
      <c r="AK144" s="141">
        <v>104.6</v>
      </c>
      <c r="AL144" s="141">
        <v>91.6</v>
      </c>
      <c r="AM144" s="141">
        <v>109.5</v>
      </c>
      <c r="AN144" s="141">
        <v>110.6</v>
      </c>
      <c r="AO144" s="141">
        <v>112.7</v>
      </c>
      <c r="AP144" s="142">
        <v>98.3</v>
      </c>
    </row>
    <row r="145" spans="1:42" s="121" customFormat="1" x14ac:dyDescent="0.25">
      <c r="A145" s="140" cm="1">
        <f t="array" ref="A145:AP145">INDEX(INDICES,MATCH(EDATE(A144,1),'INDICES PRIX'!A:A,0),)</f>
        <v>44044</v>
      </c>
      <c r="B145" s="141">
        <v>102.8</v>
      </c>
      <c r="C145" s="141">
        <v>123.7</v>
      </c>
      <c r="D145" s="141">
        <v>122.4</v>
      </c>
      <c r="E145" s="141">
        <v>99.06183844011143</v>
      </c>
      <c r="F145" s="141">
        <v>106.73</v>
      </c>
      <c r="G145" s="141">
        <v>104.6</v>
      </c>
      <c r="H145" s="141">
        <v>107.5</v>
      </c>
      <c r="I145" s="141">
        <v>108.2</v>
      </c>
      <c r="J145" s="141">
        <v>29.7</v>
      </c>
      <c r="K145" s="141">
        <v>78.186081416283741</v>
      </c>
      <c r="L145" s="141">
        <v>100.8</v>
      </c>
      <c r="M145" s="141">
        <v>106.9</v>
      </c>
      <c r="N145" s="141">
        <v>105.4</v>
      </c>
      <c r="O145" s="141">
        <v>107.4</v>
      </c>
      <c r="P145" s="141">
        <v>103.1</v>
      </c>
      <c r="Q145" s="141">
        <v>95.9</v>
      </c>
      <c r="R145" s="141">
        <v>102.1</v>
      </c>
      <c r="S145" s="141">
        <v>110.7</v>
      </c>
      <c r="T145" s="141">
        <v>106.8</v>
      </c>
      <c r="U145" s="141">
        <v>146.19999999999999</v>
      </c>
      <c r="V145" s="141">
        <v>104.7</v>
      </c>
      <c r="W145" s="141">
        <v>100.6</v>
      </c>
      <c r="X145" s="141">
        <v>93.1</v>
      </c>
      <c r="Y145" s="141">
        <v>104.4</v>
      </c>
      <c r="Z145" s="141">
        <v>103.52822580645162</v>
      </c>
      <c r="AA145" s="141">
        <v>107</v>
      </c>
      <c r="AB145" s="141">
        <v>90.3</v>
      </c>
      <c r="AC145" s="141">
        <v>103.7</v>
      </c>
      <c r="AD145" s="141">
        <v>102.7</v>
      </c>
      <c r="AE145" s="141">
        <v>95.5</v>
      </c>
      <c r="AF145" s="141">
        <v>104.4</v>
      </c>
      <c r="AG145" s="141">
        <v>105.5</v>
      </c>
      <c r="AH145" s="141">
        <v>98.2</v>
      </c>
      <c r="AI145" s="141">
        <v>106</v>
      </c>
      <c r="AJ145" s="141">
        <v>111.6</v>
      </c>
      <c r="AK145" s="141">
        <v>104.4</v>
      </c>
      <c r="AL145" s="141">
        <v>88.5</v>
      </c>
      <c r="AM145" s="141">
        <v>109.4</v>
      </c>
      <c r="AN145" s="141">
        <v>113.33</v>
      </c>
      <c r="AO145" s="141">
        <v>110.5</v>
      </c>
      <c r="AP145" s="142">
        <v>97.7</v>
      </c>
    </row>
    <row r="146" spans="1:42" s="121" customFormat="1" x14ac:dyDescent="0.25">
      <c r="A146" s="140" cm="1">
        <f t="array" ref="A146:AP146">INDEX(INDICES,MATCH(EDATE(A145,1),'INDICES PRIX'!A:A,0),)</f>
        <v>44075</v>
      </c>
      <c r="B146" s="144">
        <v>104.4</v>
      </c>
      <c r="C146" s="144">
        <v>123.6</v>
      </c>
      <c r="D146" s="144">
        <v>122.6</v>
      </c>
      <c r="E146" s="144">
        <v>94.034367495917806</v>
      </c>
      <c r="F146" s="144">
        <v>104.23</v>
      </c>
      <c r="G146" s="144">
        <v>103</v>
      </c>
      <c r="H146" s="144">
        <v>108.8</v>
      </c>
      <c r="I146" s="144">
        <v>108.6</v>
      </c>
      <c r="J146" s="144">
        <v>43.7</v>
      </c>
      <c r="K146" s="144">
        <v>75.797826992740568</v>
      </c>
      <c r="L146" s="144">
        <v>97.3</v>
      </c>
      <c r="M146" s="144">
        <v>106.9</v>
      </c>
      <c r="N146" s="144">
        <v>106.5</v>
      </c>
      <c r="O146" s="144">
        <v>108.5</v>
      </c>
      <c r="P146" s="144">
        <v>103.1</v>
      </c>
      <c r="Q146" s="144">
        <v>95</v>
      </c>
      <c r="R146" s="144">
        <v>101.9</v>
      </c>
      <c r="S146" s="144">
        <v>111.4</v>
      </c>
      <c r="T146" s="144">
        <v>107</v>
      </c>
      <c r="U146" s="144">
        <v>142.6</v>
      </c>
      <c r="V146" s="144">
        <v>105</v>
      </c>
      <c r="W146" s="144">
        <v>100.4</v>
      </c>
      <c r="X146" s="144">
        <v>94.4</v>
      </c>
      <c r="Y146" s="144">
        <v>103.3</v>
      </c>
      <c r="Z146" s="144">
        <v>103.62903225806451</v>
      </c>
      <c r="AA146" s="144">
        <v>106.6</v>
      </c>
      <c r="AB146" s="144">
        <v>90.4</v>
      </c>
      <c r="AC146" s="144">
        <v>104.2</v>
      </c>
      <c r="AD146" s="144">
        <v>103.2</v>
      </c>
      <c r="AE146" s="144">
        <v>95.8</v>
      </c>
      <c r="AF146" s="144">
        <v>103.9</v>
      </c>
      <c r="AG146" s="144">
        <v>104.8</v>
      </c>
      <c r="AH146" s="144">
        <v>98.4</v>
      </c>
      <c r="AI146" s="144">
        <v>105.9</v>
      </c>
      <c r="AJ146" s="144">
        <v>113</v>
      </c>
      <c r="AK146" s="144">
        <v>104.3</v>
      </c>
      <c r="AL146" s="144">
        <v>90.7</v>
      </c>
      <c r="AM146" s="144">
        <v>109.7</v>
      </c>
      <c r="AN146" s="144">
        <v>108.06</v>
      </c>
      <c r="AO146" s="144">
        <v>111.1</v>
      </c>
      <c r="AP146" s="145">
        <v>101.1</v>
      </c>
    </row>
    <row r="147" spans="1:42" s="121" customFormat="1" x14ac:dyDescent="0.25">
      <c r="A147" s="136" t="s">
        <v>219</v>
      </c>
      <c r="B147" s="121">
        <f t="shared" ref="B147:AP147" si="8">SUM(B135:B146)</f>
        <v>1254</v>
      </c>
      <c r="C147" s="121">
        <f t="shared" si="8"/>
        <v>1484.1</v>
      </c>
      <c r="D147" s="121">
        <f t="shared" si="8"/>
        <v>1451.8999999999999</v>
      </c>
      <c r="E147" s="121">
        <f t="shared" si="8"/>
        <v>1311.0891342029772</v>
      </c>
      <c r="F147" s="121">
        <f t="shared" si="8"/>
        <v>1366.98</v>
      </c>
      <c r="G147" s="121">
        <f t="shared" si="8"/>
        <v>1243.5</v>
      </c>
      <c r="H147" s="121">
        <f t="shared" si="8"/>
        <v>1317.2</v>
      </c>
      <c r="I147" s="121">
        <f t="shared" si="8"/>
        <v>1410.9</v>
      </c>
      <c r="J147" s="121">
        <f t="shared" si="8"/>
        <v>562.40000000000009</v>
      </c>
      <c r="K147" s="121">
        <f t="shared" si="8"/>
        <v>945.04874219648855</v>
      </c>
      <c r="L147" s="121">
        <f t="shared" si="8"/>
        <v>1200.7</v>
      </c>
      <c r="M147" s="121">
        <f t="shared" si="8"/>
        <v>1284.5000000000002</v>
      </c>
      <c r="N147" s="121">
        <f t="shared" si="8"/>
        <v>1256.4000000000001</v>
      </c>
      <c r="O147" s="121">
        <f t="shared" si="8"/>
        <v>1332</v>
      </c>
      <c r="P147" s="121">
        <f t="shared" si="8"/>
        <v>1230.2999999999997</v>
      </c>
      <c r="Q147" s="121">
        <f t="shared" si="8"/>
        <v>1161.8</v>
      </c>
      <c r="R147" s="121">
        <f t="shared" si="8"/>
        <v>1228</v>
      </c>
      <c r="S147" s="121">
        <f t="shared" si="8"/>
        <v>1331.6000000000001</v>
      </c>
      <c r="T147" s="121">
        <f t="shared" si="8"/>
        <v>1309.0999999999999</v>
      </c>
      <c r="U147" s="121">
        <f t="shared" si="8"/>
        <v>1625.5</v>
      </c>
      <c r="V147" s="121">
        <f t="shared" si="8"/>
        <v>1245.5999999999999</v>
      </c>
      <c r="W147" s="121">
        <f t="shared" si="8"/>
        <v>1203</v>
      </c>
      <c r="X147" s="121">
        <f t="shared" si="8"/>
        <v>1131.9000000000001</v>
      </c>
      <c r="Y147" s="121">
        <f t="shared" si="8"/>
        <v>1232.1000000000001</v>
      </c>
      <c r="Z147" s="121">
        <f t="shared" si="8"/>
        <v>1256.0483870967741</v>
      </c>
      <c r="AA147" s="121">
        <f t="shared" si="8"/>
        <v>1272.6999999999998</v>
      </c>
      <c r="AB147" s="121">
        <f t="shared" si="8"/>
        <v>1115.8000000000002</v>
      </c>
      <c r="AC147" s="121">
        <f t="shared" si="8"/>
        <v>1271.9000000000001</v>
      </c>
      <c r="AD147" s="121">
        <f t="shared" si="8"/>
        <v>1234.6000000000001</v>
      </c>
      <c r="AE147" s="121">
        <f t="shared" si="8"/>
        <v>1138.8</v>
      </c>
      <c r="AF147" s="121">
        <f t="shared" si="8"/>
        <v>1242.0000000000002</v>
      </c>
      <c r="AG147" s="121">
        <f t="shared" si="8"/>
        <v>1234.8999999999999</v>
      </c>
      <c r="AH147" s="121">
        <f t="shared" si="8"/>
        <v>1165.2000000000003</v>
      </c>
      <c r="AI147" s="121">
        <f t="shared" si="8"/>
        <v>1282.5000000000002</v>
      </c>
      <c r="AJ147" s="121">
        <f t="shared" si="8"/>
        <v>1323.1</v>
      </c>
      <c r="AK147" s="121">
        <f t="shared" si="8"/>
        <v>1278.7</v>
      </c>
      <c r="AL147" s="121">
        <f t="shared" si="8"/>
        <v>1110.2</v>
      </c>
      <c r="AM147" s="121">
        <f t="shared" si="8"/>
        <v>1305.5000000000002</v>
      </c>
      <c r="AN147" s="121">
        <f t="shared" si="8"/>
        <v>1295.55</v>
      </c>
      <c r="AO147" s="121">
        <f t="shared" si="8"/>
        <v>1337.1</v>
      </c>
      <c r="AP147" s="121">
        <f t="shared" si="8"/>
        <v>1190.7999999999997</v>
      </c>
    </row>
    <row r="148" spans="1:42" s="121" customFormat="1" x14ac:dyDescent="0.25">
      <c r="A148" s="136"/>
    </row>
    <row r="149" spans="1:42" ht="18.75" x14ac:dyDescent="0.25">
      <c r="B149" s="249" t="s">
        <v>276</v>
      </c>
      <c r="C149" s="249"/>
      <c r="D149" s="249"/>
      <c r="E149" s="249"/>
    </row>
    <row r="150" spans="1:42" s="121" customFormat="1" x14ac:dyDescent="0.25">
      <c r="A150" s="136"/>
      <c r="B150" s="251" t="s">
        <v>48</v>
      </c>
      <c r="C150" s="251"/>
      <c r="D150" s="251"/>
    </row>
    <row r="151" spans="1:42" s="121" customFormat="1" x14ac:dyDescent="0.25">
      <c r="A151" s="138" cm="1">
        <f t="array" ref="A151:AP151">INDEX(INDICES,MATCH(EDATE(DATE3,-5),'INDICES PRIX'!A:A,0),)</f>
        <v>44652</v>
      </c>
      <c r="B151" s="7">
        <v>113.4</v>
      </c>
      <c r="C151" s="55">
        <v>123.2</v>
      </c>
      <c r="D151" s="55">
        <v>124.8</v>
      </c>
      <c r="E151" s="55">
        <v>188.1</v>
      </c>
      <c r="F151" s="55">
        <v>158.51</v>
      </c>
      <c r="G151" s="55">
        <v>109.9</v>
      </c>
      <c r="H151" s="55">
        <v>115.1</v>
      </c>
      <c r="I151" s="55">
        <v>159.19999999999999</v>
      </c>
      <c r="J151" s="55">
        <v>582.29999999999995</v>
      </c>
      <c r="K151" s="55">
        <v>166.232985889085</v>
      </c>
      <c r="L151" s="55">
        <v>130.19999999999999</v>
      </c>
      <c r="M151" s="55">
        <v>160.30000000000001</v>
      </c>
      <c r="N151" s="55">
        <v>111.3</v>
      </c>
      <c r="O151" s="55">
        <v>249.2</v>
      </c>
      <c r="P151" s="55">
        <v>107.5</v>
      </c>
      <c r="Q151" s="55">
        <v>133.69999999999999</v>
      </c>
      <c r="R151" s="55">
        <v>123.5</v>
      </c>
      <c r="S151" s="55">
        <v>167.9</v>
      </c>
      <c r="T151" s="55">
        <v>244.4</v>
      </c>
      <c r="U151" s="55">
        <v>256</v>
      </c>
      <c r="V151" s="55">
        <v>118.1</v>
      </c>
      <c r="W151" s="55">
        <v>106.9</v>
      </c>
      <c r="X151" s="55">
        <v>115.6</v>
      </c>
      <c r="Y151" s="55">
        <v>123.6</v>
      </c>
      <c r="Z151" s="55">
        <v>112.5</v>
      </c>
      <c r="AA151" s="55">
        <v>116.8</v>
      </c>
      <c r="AB151" s="55">
        <v>171.9</v>
      </c>
      <c r="AC151" s="55">
        <v>138.69999999999999</v>
      </c>
      <c r="AD151" s="55">
        <v>112.5</v>
      </c>
      <c r="AE151" s="55">
        <v>139.1</v>
      </c>
      <c r="AF151" s="55">
        <v>113.7</v>
      </c>
      <c r="AG151" s="55">
        <v>114.8</v>
      </c>
      <c r="AH151" s="55">
        <v>99.1</v>
      </c>
      <c r="AI151" s="55">
        <v>103.5</v>
      </c>
      <c r="AJ151" s="55">
        <v>125</v>
      </c>
      <c r="AK151" s="55">
        <v>194.1</v>
      </c>
      <c r="AL151" s="55">
        <v>181.2</v>
      </c>
      <c r="AM151" s="55">
        <v>131.6</v>
      </c>
      <c r="AN151" s="55">
        <v>110.96</v>
      </c>
      <c r="AO151" s="55">
        <v>126.7</v>
      </c>
      <c r="AP151" s="8">
        <v>144.5</v>
      </c>
    </row>
    <row r="152" spans="1:42" s="121" customFormat="1" x14ac:dyDescent="0.25">
      <c r="A152" s="140" cm="1">
        <f t="array" ref="A152:AP152">INDEX(INDICES,MATCH(EDATE(A151,1),'INDICES PRIX'!A:A,0),)</f>
        <v>44682</v>
      </c>
      <c r="B152" s="150">
        <v>113.2</v>
      </c>
      <c r="C152" s="141">
        <v>123.5</v>
      </c>
      <c r="D152" s="141">
        <v>125.2</v>
      </c>
      <c r="E152" s="141">
        <v>188.8</v>
      </c>
      <c r="F152" s="141">
        <v>161.19</v>
      </c>
      <c r="G152" s="141">
        <v>110.4</v>
      </c>
      <c r="H152" s="141">
        <v>115.1</v>
      </c>
      <c r="I152" s="141">
        <v>137.69999999999999</v>
      </c>
      <c r="J152" s="141">
        <v>463.2</v>
      </c>
      <c r="K152" s="141">
        <v>169.10487921467225</v>
      </c>
      <c r="L152" s="141">
        <v>135.69999999999999</v>
      </c>
      <c r="M152" s="141">
        <v>160.5</v>
      </c>
      <c r="N152" s="141">
        <v>112.6</v>
      </c>
      <c r="O152" s="141">
        <v>270.7</v>
      </c>
      <c r="P152" s="141">
        <v>108.3</v>
      </c>
      <c r="Q152" s="141">
        <v>138.19999999999999</v>
      </c>
      <c r="R152" s="141">
        <v>126.5</v>
      </c>
      <c r="S152" s="141">
        <v>171.6</v>
      </c>
      <c r="T152" s="141">
        <v>265.3</v>
      </c>
      <c r="U152" s="141">
        <v>248.1</v>
      </c>
      <c r="V152" s="141">
        <v>118.9</v>
      </c>
      <c r="W152" s="141">
        <v>109.1</v>
      </c>
      <c r="X152" s="141">
        <v>121</v>
      </c>
      <c r="Y152" s="141">
        <v>127.6</v>
      </c>
      <c r="Z152" s="141">
        <v>117.6</v>
      </c>
      <c r="AA152" s="141">
        <v>116.9</v>
      </c>
      <c r="AB152" s="141">
        <v>178.4</v>
      </c>
      <c r="AC152" s="141">
        <v>139.6</v>
      </c>
      <c r="AD152" s="141">
        <v>114.2</v>
      </c>
      <c r="AE152" s="141">
        <v>141.6</v>
      </c>
      <c r="AF152" s="141">
        <v>114.7</v>
      </c>
      <c r="AG152" s="141">
        <v>115</v>
      </c>
      <c r="AH152" s="141">
        <v>100.9</v>
      </c>
      <c r="AI152" s="141">
        <v>103.8</v>
      </c>
      <c r="AJ152" s="141">
        <v>132.5</v>
      </c>
      <c r="AK152" s="141">
        <v>197.9</v>
      </c>
      <c r="AL152" s="141">
        <v>188.4</v>
      </c>
      <c r="AM152" s="141">
        <v>134.19999999999999</v>
      </c>
      <c r="AN152" s="141">
        <v>112.72</v>
      </c>
      <c r="AO152" s="141">
        <v>126.9</v>
      </c>
      <c r="AP152" s="142">
        <v>141.69999999999999</v>
      </c>
    </row>
    <row r="153" spans="1:42" s="121" customFormat="1" x14ac:dyDescent="0.25">
      <c r="A153" s="140" cm="1">
        <f t="array" ref="A153:AP153">INDEX(INDICES,MATCH(EDATE(A152,1),'INDICES PRIX'!A:A,0),)</f>
        <v>44713</v>
      </c>
      <c r="B153" s="150">
        <v>113.3</v>
      </c>
      <c r="C153" s="141">
        <v>123.7</v>
      </c>
      <c r="D153" s="141">
        <v>125.5</v>
      </c>
      <c r="E153" s="141">
        <v>220</v>
      </c>
      <c r="F153" s="141">
        <v>177.37</v>
      </c>
      <c r="G153" s="141">
        <v>111.8</v>
      </c>
      <c r="H153" s="141">
        <v>115.1</v>
      </c>
      <c r="I153" s="141">
        <v>119.7</v>
      </c>
      <c r="J153" s="141">
        <v>470.1</v>
      </c>
      <c r="K153" s="141">
        <v>198.40882777760893</v>
      </c>
      <c r="L153" s="141">
        <v>137.6</v>
      </c>
      <c r="M153" s="141">
        <v>160.6</v>
      </c>
      <c r="N153" s="141">
        <v>112</v>
      </c>
      <c r="O153" s="141">
        <v>256.3</v>
      </c>
      <c r="P153" s="141">
        <v>109.6</v>
      </c>
      <c r="Q153" s="141">
        <v>140.69999999999999</v>
      </c>
      <c r="R153" s="141">
        <v>132.4</v>
      </c>
      <c r="S153" s="141">
        <v>175.7</v>
      </c>
      <c r="T153" s="141">
        <v>253.5</v>
      </c>
      <c r="U153" s="141">
        <v>260.7</v>
      </c>
      <c r="V153" s="141">
        <v>123.4</v>
      </c>
      <c r="W153" s="141">
        <v>110.6</v>
      </c>
      <c r="X153" s="141">
        <v>123.9</v>
      </c>
      <c r="Y153" s="141">
        <v>128.69999999999999</v>
      </c>
      <c r="Z153" s="141">
        <v>121.5</v>
      </c>
      <c r="AA153" s="141">
        <v>118.4</v>
      </c>
      <c r="AB153" s="141">
        <v>175.9</v>
      </c>
      <c r="AC153" s="141">
        <v>147.5</v>
      </c>
      <c r="AD153" s="141">
        <v>117.1</v>
      </c>
      <c r="AE153" s="141">
        <v>143.1</v>
      </c>
      <c r="AF153" s="141">
        <v>115.5</v>
      </c>
      <c r="AG153" s="141">
        <v>115.6</v>
      </c>
      <c r="AH153" s="141">
        <v>101.9</v>
      </c>
      <c r="AI153" s="141">
        <v>103.6</v>
      </c>
      <c r="AJ153" s="141">
        <v>138.4</v>
      </c>
      <c r="AK153" s="141">
        <v>197.6</v>
      </c>
      <c r="AL153" s="141">
        <v>184.8</v>
      </c>
      <c r="AM153" s="141">
        <v>133.6</v>
      </c>
      <c r="AN153" s="141">
        <v>114.25</v>
      </c>
      <c r="AO153" s="141">
        <v>126.8</v>
      </c>
      <c r="AP153" s="142">
        <v>136.69999999999999</v>
      </c>
    </row>
    <row r="154" spans="1:42" s="121" customFormat="1" x14ac:dyDescent="0.25">
      <c r="A154" s="140" cm="1">
        <f t="array" ref="A154:AP154">INDEX(INDICES,MATCH(EDATE(A153,1),'INDICES PRIX'!A:A,0),)</f>
        <v>44743</v>
      </c>
      <c r="B154" s="150">
        <v>116.6</v>
      </c>
      <c r="C154" s="141">
        <v>123.7</v>
      </c>
      <c r="D154" s="141">
        <v>125.5</v>
      </c>
      <c r="E154" s="141">
        <v>198.7</v>
      </c>
      <c r="F154" s="141">
        <v>169.9</v>
      </c>
      <c r="G154" s="141">
        <v>115.2</v>
      </c>
      <c r="H154" s="141">
        <v>117.1</v>
      </c>
      <c r="I154" s="141">
        <v>121.5</v>
      </c>
      <c r="J154" s="141">
        <v>555.29999999999995</v>
      </c>
      <c r="K154" s="141">
        <v>182.79069185265595</v>
      </c>
      <c r="L154" s="141">
        <v>135.9</v>
      </c>
      <c r="M154" s="141">
        <v>160.6</v>
      </c>
      <c r="N154" s="141">
        <v>113.3</v>
      </c>
      <c r="O154" s="141">
        <v>246.9</v>
      </c>
      <c r="P154" s="141">
        <v>110.7</v>
      </c>
      <c r="Q154" s="141">
        <v>140.4</v>
      </c>
      <c r="R154" s="141">
        <v>133.6</v>
      </c>
      <c r="S154" s="141">
        <v>172</v>
      </c>
      <c r="T154" s="141">
        <v>252.4</v>
      </c>
      <c r="U154" s="141">
        <v>243.5</v>
      </c>
      <c r="V154" s="141">
        <v>125.3</v>
      </c>
      <c r="W154" s="141">
        <v>110.4</v>
      </c>
      <c r="X154" s="141">
        <v>126.1</v>
      </c>
      <c r="Y154" s="141">
        <v>132.5</v>
      </c>
      <c r="Z154" s="141">
        <v>124</v>
      </c>
      <c r="AA154" s="141">
        <v>118.4</v>
      </c>
      <c r="AB154" s="141">
        <v>168.4</v>
      </c>
      <c r="AC154" s="141">
        <v>155</v>
      </c>
      <c r="AD154" s="141">
        <v>121.2</v>
      </c>
      <c r="AE154" s="141">
        <v>143.1</v>
      </c>
      <c r="AF154" s="141">
        <v>116.3</v>
      </c>
      <c r="AG154" s="141">
        <v>116.8</v>
      </c>
      <c r="AH154" s="141">
        <v>101.6</v>
      </c>
      <c r="AI154" s="141">
        <v>104.5</v>
      </c>
      <c r="AJ154" s="141">
        <v>143.6</v>
      </c>
      <c r="AK154" s="141">
        <v>190.4</v>
      </c>
      <c r="AL154" s="141">
        <v>195.8</v>
      </c>
      <c r="AM154" s="141">
        <v>134.30000000000001</v>
      </c>
      <c r="AN154" s="141">
        <v>118.88</v>
      </c>
      <c r="AO154" s="141">
        <v>127.5</v>
      </c>
      <c r="AP154" s="142">
        <v>132.1</v>
      </c>
    </row>
    <row r="155" spans="1:42" s="121" customFormat="1" x14ac:dyDescent="0.25">
      <c r="A155" s="140" cm="1">
        <f t="array" ref="A155:AP155">INDEX(INDICES,MATCH(EDATE(A154,1),'INDICES PRIX'!A:A,0),)</f>
        <v>44774</v>
      </c>
      <c r="B155" s="150">
        <v>116.6</v>
      </c>
      <c r="C155" s="141">
        <v>123.7</v>
      </c>
      <c r="D155" s="141">
        <v>125.5</v>
      </c>
      <c r="E155" s="141">
        <v>189.1</v>
      </c>
      <c r="F155" s="141">
        <v>158.9</v>
      </c>
      <c r="G155" s="141">
        <v>115.3</v>
      </c>
      <c r="H155" s="141">
        <v>117.1</v>
      </c>
      <c r="I155" s="141">
        <v>122.9</v>
      </c>
      <c r="J155" s="141">
        <v>820.3</v>
      </c>
      <c r="K155" s="141">
        <v>165.98479757699718</v>
      </c>
      <c r="L155" s="141">
        <v>136.9</v>
      </c>
      <c r="M155" s="141">
        <v>160.6</v>
      </c>
      <c r="N155" s="141">
        <v>116.6</v>
      </c>
      <c r="O155" s="141">
        <v>241.2</v>
      </c>
      <c r="P155" s="141">
        <v>111.1</v>
      </c>
      <c r="Q155" s="141">
        <v>139.30000000000001</v>
      </c>
      <c r="R155" s="141">
        <v>133.4</v>
      </c>
      <c r="S155" s="141">
        <v>172.4</v>
      </c>
      <c r="T155" s="141">
        <v>252.7</v>
      </c>
      <c r="U155" s="141">
        <v>215.4</v>
      </c>
      <c r="V155" s="141">
        <v>123.3</v>
      </c>
      <c r="W155" s="141">
        <v>111.7</v>
      </c>
      <c r="X155" s="141">
        <v>125.8</v>
      </c>
      <c r="Y155" s="141">
        <v>133.9</v>
      </c>
      <c r="Z155" s="141">
        <v>124.5</v>
      </c>
      <c r="AA155" s="141">
        <v>117.8</v>
      </c>
      <c r="AB155" s="141">
        <v>170</v>
      </c>
      <c r="AC155" s="141">
        <v>157.4</v>
      </c>
      <c r="AD155" s="141">
        <v>122.7</v>
      </c>
      <c r="AE155" s="141">
        <v>143.1</v>
      </c>
      <c r="AF155" s="141">
        <v>118</v>
      </c>
      <c r="AG155" s="141">
        <v>118.7</v>
      </c>
      <c r="AH155" s="141">
        <v>102</v>
      </c>
      <c r="AI155" s="141">
        <v>104.6</v>
      </c>
      <c r="AJ155" s="141">
        <v>146.80000000000001</v>
      </c>
      <c r="AK155" s="141">
        <v>185.7</v>
      </c>
      <c r="AL155" s="141">
        <v>189.2</v>
      </c>
      <c r="AM155" s="141">
        <v>134.9</v>
      </c>
      <c r="AN155" s="141">
        <v>120.65</v>
      </c>
      <c r="AO155" s="141">
        <v>127.5</v>
      </c>
      <c r="AP155" s="142">
        <v>127.9</v>
      </c>
    </row>
    <row r="156" spans="1:42" s="121" customFormat="1" x14ac:dyDescent="0.25">
      <c r="A156" s="143" cm="1">
        <f t="array" ref="A156:AP156">INDEX(INDICES,MATCH(EDATE(A155,1),'INDICES PRIX'!A:A,0),)</f>
        <v>44805</v>
      </c>
      <c r="B156" s="151">
        <v>117.1</v>
      </c>
      <c r="C156" s="144">
        <v>123.7</v>
      </c>
      <c r="D156" s="144">
        <v>125.5</v>
      </c>
      <c r="E156" s="144">
        <v>175</v>
      </c>
      <c r="F156" s="144">
        <v>148.12</v>
      </c>
      <c r="G156" s="144">
        <v>112.8</v>
      </c>
      <c r="H156" s="144">
        <v>117.1</v>
      </c>
      <c r="I156" s="144">
        <v>119.8</v>
      </c>
      <c r="J156" s="144">
        <v>972.8</v>
      </c>
      <c r="K156" s="144">
        <v>145.70426693210933</v>
      </c>
      <c r="L156" s="144">
        <v>135.69999999999999</v>
      </c>
      <c r="M156" s="144">
        <v>160.6</v>
      </c>
      <c r="N156" s="144">
        <v>114.6</v>
      </c>
      <c r="O156" s="144">
        <v>229.2</v>
      </c>
      <c r="P156" s="144">
        <v>110.9</v>
      </c>
      <c r="Q156" s="144">
        <v>136.69999999999999</v>
      </c>
      <c r="R156" s="144">
        <v>133.9</v>
      </c>
      <c r="S156" s="144">
        <v>166.9</v>
      </c>
      <c r="T156" s="144">
        <v>241.5</v>
      </c>
      <c r="U156" s="144">
        <v>212.8</v>
      </c>
      <c r="V156" s="144">
        <v>119.2</v>
      </c>
      <c r="W156" s="144">
        <v>111.8</v>
      </c>
      <c r="X156" s="144">
        <v>127</v>
      </c>
      <c r="Y156" s="144">
        <v>133.19999999999999</v>
      </c>
      <c r="Z156" s="144">
        <v>125.6</v>
      </c>
      <c r="AA156" s="144">
        <v>118.4</v>
      </c>
      <c r="AB156" s="144">
        <v>164.8</v>
      </c>
      <c r="AC156" s="144">
        <v>151.19999999999999</v>
      </c>
      <c r="AD156" s="144">
        <v>120.3</v>
      </c>
      <c r="AE156" s="144">
        <v>143.1</v>
      </c>
      <c r="AF156" s="144">
        <v>117</v>
      </c>
      <c r="AG156" s="144">
        <v>116.8</v>
      </c>
      <c r="AH156" s="144">
        <v>103</v>
      </c>
      <c r="AI156" s="144">
        <v>104.8</v>
      </c>
      <c r="AJ156" s="144">
        <v>152.80000000000001</v>
      </c>
      <c r="AK156" s="144">
        <v>183.8</v>
      </c>
      <c r="AL156" s="144">
        <v>168.9</v>
      </c>
      <c r="AM156" s="144">
        <v>135.19999999999999</v>
      </c>
      <c r="AN156" s="144">
        <v>114.92</v>
      </c>
      <c r="AO156" s="144">
        <v>127.5</v>
      </c>
      <c r="AP156" s="145">
        <v>130.30000000000001</v>
      </c>
    </row>
    <row r="157" spans="1:42" s="121" customFormat="1" x14ac:dyDescent="0.25">
      <c r="A157" s="136" t="s">
        <v>222</v>
      </c>
      <c r="B157" s="121">
        <f>SUM(B154:B156)</f>
        <v>350.29999999999995</v>
      </c>
      <c r="C157" s="121">
        <f>SUM(C154:C156)</f>
        <v>371.1</v>
      </c>
      <c r="D157" s="121">
        <f t="shared" ref="D157:X157" si="9">SUM(D154:D156)</f>
        <v>376.5</v>
      </c>
      <c r="E157" s="121">
        <f t="shared" si="9"/>
        <v>562.79999999999995</v>
      </c>
      <c r="F157" s="121">
        <f t="shared" si="9"/>
        <v>476.92</v>
      </c>
      <c r="G157" s="121">
        <f t="shared" si="9"/>
        <v>343.3</v>
      </c>
      <c r="H157" s="121">
        <f t="shared" si="9"/>
        <v>351.29999999999995</v>
      </c>
      <c r="I157" s="121">
        <f t="shared" si="9"/>
        <v>364.2</v>
      </c>
      <c r="J157" s="121">
        <f t="shared" si="9"/>
        <v>2348.3999999999996</v>
      </c>
      <c r="K157" s="121">
        <f t="shared" si="9"/>
        <v>494.4797563617625</v>
      </c>
      <c r="L157" s="121">
        <f t="shared" si="9"/>
        <v>408.5</v>
      </c>
      <c r="M157" s="121">
        <f t="shared" si="9"/>
        <v>481.79999999999995</v>
      </c>
      <c r="N157" s="121">
        <f t="shared" si="9"/>
        <v>344.5</v>
      </c>
      <c r="O157" s="121">
        <f t="shared" si="9"/>
        <v>717.3</v>
      </c>
      <c r="P157" s="121">
        <f t="shared" si="9"/>
        <v>332.70000000000005</v>
      </c>
      <c r="Q157" s="121">
        <f t="shared" si="9"/>
        <v>416.40000000000003</v>
      </c>
      <c r="R157" s="121">
        <f t="shared" si="9"/>
        <v>400.9</v>
      </c>
      <c r="S157" s="121">
        <f t="shared" si="9"/>
        <v>511.29999999999995</v>
      </c>
      <c r="T157" s="121">
        <f t="shared" si="9"/>
        <v>746.6</v>
      </c>
      <c r="U157" s="121">
        <f t="shared" si="9"/>
        <v>671.7</v>
      </c>
      <c r="V157" s="121">
        <f t="shared" si="9"/>
        <v>367.8</v>
      </c>
      <c r="W157" s="121">
        <f t="shared" si="9"/>
        <v>333.90000000000003</v>
      </c>
      <c r="X157" s="121">
        <f t="shared" si="9"/>
        <v>378.9</v>
      </c>
      <c r="Y157" s="121">
        <f t="shared" ref="Y157" si="10">SUM(Y154:Y156)</f>
        <v>399.59999999999997</v>
      </c>
      <c r="Z157" s="121">
        <f t="shared" ref="Z157" si="11">SUM(Z154:Z156)</f>
        <v>374.1</v>
      </c>
      <c r="AA157" s="121">
        <f t="shared" ref="AA157" si="12">SUM(AA154:AA156)</f>
        <v>354.6</v>
      </c>
      <c r="AB157" s="121">
        <f t="shared" ref="AB157" si="13">SUM(AB154:AB156)</f>
        <v>503.2</v>
      </c>
      <c r="AC157" s="121">
        <f t="shared" ref="AC157" si="14">SUM(AC154:AC156)</f>
        <v>463.59999999999997</v>
      </c>
      <c r="AD157" s="121">
        <f t="shared" ref="AD157" si="15">SUM(AD154:AD156)</f>
        <v>364.2</v>
      </c>
      <c r="AE157" s="121">
        <f t="shared" ref="AE157" si="16">SUM(AE154:AE156)</f>
        <v>429.29999999999995</v>
      </c>
      <c r="AF157" s="121">
        <f t="shared" ref="AF157" si="17">SUM(AF154:AF156)</f>
        <v>351.3</v>
      </c>
      <c r="AG157" s="121">
        <f t="shared" ref="AG157" si="18">SUM(AG154:AG156)</f>
        <v>352.3</v>
      </c>
      <c r="AH157" s="121">
        <f t="shared" ref="AH157" si="19">SUM(AH154:AH156)</f>
        <v>306.60000000000002</v>
      </c>
      <c r="AI157" s="121">
        <f t="shared" ref="AI157" si="20">SUM(AI154:AI156)</f>
        <v>313.89999999999998</v>
      </c>
      <c r="AJ157" s="121">
        <f t="shared" ref="AJ157" si="21">SUM(AJ154:AJ156)</f>
        <v>443.2</v>
      </c>
      <c r="AK157" s="121">
        <f t="shared" ref="AK157" si="22">SUM(AK154:AK156)</f>
        <v>559.90000000000009</v>
      </c>
      <c r="AL157" s="121">
        <f t="shared" ref="AL157" si="23">SUM(AL154:AL156)</f>
        <v>553.9</v>
      </c>
      <c r="AM157" s="121">
        <f t="shared" ref="AM157" si="24">SUM(AM154:AM156)</f>
        <v>404.40000000000003</v>
      </c>
      <c r="AN157" s="121">
        <f t="shared" ref="AN157" si="25">SUM(AN154:AN156)</f>
        <v>354.45</v>
      </c>
      <c r="AO157" s="121">
        <f t="shared" ref="AO157" si="26">SUM(AO154:AO156)</f>
        <v>382.5</v>
      </c>
      <c r="AP157" s="121">
        <f t="shared" ref="AP157" si="27">SUM(AP154:AP156)</f>
        <v>390.3</v>
      </c>
    </row>
    <row r="158" spans="1:42" s="121" customFormat="1" x14ac:dyDescent="0.25">
      <c r="A158" s="136" t="s">
        <v>223</v>
      </c>
      <c r="B158" s="121">
        <f>SUM(B151:B153)</f>
        <v>339.90000000000003</v>
      </c>
      <c r="C158" s="121">
        <f>SUM(C151:C153)</f>
        <v>370.4</v>
      </c>
      <c r="D158" s="121">
        <f t="shared" ref="D158:X158" si="28">SUM(D151:D153)</f>
        <v>375.5</v>
      </c>
      <c r="E158" s="121">
        <f t="shared" si="28"/>
        <v>596.9</v>
      </c>
      <c r="F158" s="121">
        <f t="shared" si="28"/>
        <v>497.07</v>
      </c>
      <c r="G158" s="121">
        <f t="shared" si="28"/>
        <v>332.1</v>
      </c>
      <c r="H158" s="121">
        <f t="shared" si="28"/>
        <v>345.29999999999995</v>
      </c>
      <c r="I158" s="121">
        <f t="shared" si="28"/>
        <v>416.59999999999997</v>
      </c>
      <c r="J158" s="121">
        <f t="shared" si="28"/>
        <v>1515.6</v>
      </c>
      <c r="K158" s="121">
        <f t="shared" si="28"/>
        <v>533.74669288136624</v>
      </c>
      <c r="L158" s="121">
        <f t="shared" si="28"/>
        <v>403.5</v>
      </c>
      <c r="M158" s="121">
        <f t="shared" si="28"/>
        <v>481.4</v>
      </c>
      <c r="N158" s="121">
        <f t="shared" si="28"/>
        <v>335.9</v>
      </c>
      <c r="O158" s="121">
        <f t="shared" si="28"/>
        <v>776.2</v>
      </c>
      <c r="P158" s="121">
        <f t="shared" si="28"/>
        <v>325.39999999999998</v>
      </c>
      <c r="Q158" s="121">
        <f t="shared" si="28"/>
        <v>412.59999999999997</v>
      </c>
      <c r="R158" s="121">
        <f t="shared" si="28"/>
        <v>382.4</v>
      </c>
      <c r="S158" s="121">
        <f t="shared" si="28"/>
        <v>515.20000000000005</v>
      </c>
      <c r="T158" s="121">
        <f t="shared" si="28"/>
        <v>763.2</v>
      </c>
      <c r="U158" s="121">
        <f t="shared" si="28"/>
        <v>764.8</v>
      </c>
      <c r="V158" s="121">
        <f t="shared" si="28"/>
        <v>360.4</v>
      </c>
      <c r="W158" s="121">
        <f t="shared" si="28"/>
        <v>326.60000000000002</v>
      </c>
      <c r="X158" s="121">
        <f t="shared" si="28"/>
        <v>360.5</v>
      </c>
      <c r="Y158" s="121">
        <f t="shared" ref="Y158:AP158" si="29">SUM(Y151:Y153)</f>
        <v>379.9</v>
      </c>
      <c r="Z158" s="121">
        <f t="shared" si="29"/>
        <v>351.6</v>
      </c>
      <c r="AA158" s="121">
        <f t="shared" si="29"/>
        <v>352.1</v>
      </c>
      <c r="AB158" s="121">
        <f t="shared" si="29"/>
        <v>526.20000000000005</v>
      </c>
      <c r="AC158" s="121">
        <f t="shared" si="29"/>
        <v>425.79999999999995</v>
      </c>
      <c r="AD158" s="121">
        <f t="shared" si="29"/>
        <v>343.79999999999995</v>
      </c>
      <c r="AE158" s="121">
        <f t="shared" si="29"/>
        <v>423.79999999999995</v>
      </c>
      <c r="AF158" s="121">
        <f t="shared" si="29"/>
        <v>343.9</v>
      </c>
      <c r="AG158" s="121">
        <f t="shared" si="29"/>
        <v>345.4</v>
      </c>
      <c r="AH158" s="121">
        <f t="shared" si="29"/>
        <v>301.89999999999998</v>
      </c>
      <c r="AI158" s="121">
        <f t="shared" si="29"/>
        <v>310.89999999999998</v>
      </c>
      <c r="AJ158" s="121">
        <f t="shared" si="29"/>
        <v>395.9</v>
      </c>
      <c r="AK158" s="121">
        <f t="shared" si="29"/>
        <v>589.6</v>
      </c>
      <c r="AL158" s="121">
        <f t="shared" si="29"/>
        <v>554.40000000000009</v>
      </c>
      <c r="AM158" s="121">
        <f t="shared" si="29"/>
        <v>399.4</v>
      </c>
      <c r="AN158" s="121">
        <f t="shared" si="29"/>
        <v>337.93</v>
      </c>
      <c r="AO158" s="121">
        <f t="shared" si="29"/>
        <v>380.40000000000003</v>
      </c>
      <c r="AP158" s="121">
        <f t="shared" si="29"/>
        <v>422.9</v>
      </c>
    </row>
    <row r="160" spans="1:42" s="121" customFormat="1" x14ac:dyDescent="0.25">
      <c r="A160" s="136"/>
      <c r="B160" s="251" t="s">
        <v>49</v>
      </c>
      <c r="C160" s="251"/>
      <c r="D160" s="251"/>
    </row>
    <row r="161" spans="1:42" s="121" customFormat="1" x14ac:dyDescent="0.25">
      <c r="A161" s="138" cm="1">
        <f t="array" ref="A161:AP161">INDEX(INDICES,MATCH(EDATE(DATE3,-11),'INDICES PRIX'!A:A,0),)</f>
        <v>44470</v>
      </c>
      <c r="B161" s="55">
        <v>109</v>
      </c>
      <c r="C161" s="55">
        <v>122.6</v>
      </c>
      <c r="D161" s="55">
        <v>123.1</v>
      </c>
      <c r="E161" s="55">
        <v>145.0804149457305</v>
      </c>
      <c r="F161" s="55">
        <v>132.38</v>
      </c>
      <c r="G161" s="55">
        <v>105.8</v>
      </c>
      <c r="H161" s="55">
        <v>110.5</v>
      </c>
      <c r="I161" s="55">
        <v>113.2</v>
      </c>
      <c r="J161" s="55">
        <v>354.2</v>
      </c>
      <c r="K161" s="55">
        <v>119.53812774342542</v>
      </c>
      <c r="L161" s="55">
        <v>123.8</v>
      </c>
      <c r="M161" s="55">
        <v>145.30000000000001</v>
      </c>
      <c r="N161" s="55">
        <v>106.4</v>
      </c>
      <c r="O161" s="55">
        <v>193</v>
      </c>
      <c r="P161" s="55">
        <v>103.5</v>
      </c>
      <c r="Q161" s="55">
        <v>121.2</v>
      </c>
      <c r="R161" s="55">
        <v>106.6</v>
      </c>
      <c r="S161" s="55">
        <v>136.80000000000001</v>
      </c>
      <c r="T161" s="55">
        <v>191.5</v>
      </c>
      <c r="U161" s="55">
        <v>175.9</v>
      </c>
      <c r="V161" s="55">
        <v>111.4</v>
      </c>
      <c r="W161" s="55">
        <v>103</v>
      </c>
      <c r="X161" s="55">
        <v>105.6</v>
      </c>
      <c r="Y161" s="55">
        <v>105.6</v>
      </c>
      <c r="Z161" s="55">
        <v>112.60080645161291</v>
      </c>
      <c r="AA161" s="55">
        <v>111.6</v>
      </c>
      <c r="AB161" s="55">
        <v>139.4</v>
      </c>
      <c r="AC161" s="55">
        <v>120.6</v>
      </c>
      <c r="AD161" s="55">
        <v>106.2</v>
      </c>
      <c r="AE161" s="55">
        <v>125</v>
      </c>
      <c r="AF161" s="55">
        <v>106.9</v>
      </c>
      <c r="AG161" s="55">
        <v>107.3</v>
      </c>
      <c r="AH161" s="55">
        <v>97</v>
      </c>
      <c r="AI161" s="55">
        <v>102.4</v>
      </c>
      <c r="AJ161" s="55">
        <v>121</v>
      </c>
      <c r="AK161" s="55">
        <v>150.69999999999999</v>
      </c>
      <c r="AL161" s="55">
        <v>186.8</v>
      </c>
      <c r="AM161" s="55">
        <v>122.2</v>
      </c>
      <c r="AN161" s="55">
        <v>109.17</v>
      </c>
      <c r="AO161" s="55">
        <v>118.3</v>
      </c>
      <c r="AP161" s="8">
        <v>115.5</v>
      </c>
    </row>
    <row r="162" spans="1:42" s="121" customFormat="1" x14ac:dyDescent="0.25">
      <c r="A162" s="140" cm="1">
        <f t="array" ref="A162:AP162">INDEX(INDICES,MATCH(EDATE(A161,1),'INDICES PRIX'!A:A,0),)</f>
        <v>44501</v>
      </c>
      <c r="B162" s="141">
        <v>109.1</v>
      </c>
      <c r="C162" s="141">
        <v>122.5</v>
      </c>
      <c r="D162" s="141">
        <v>123.1</v>
      </c>
      <c r="E162" s="141">
        <v>146.98121217942563</v>
      </c>
      <c r="F162" s="141">
        <v>133.69999999999999</v>
      </c>
      <c r="G162" s="141">
        <v>106.2</v>
      </c>
      <c r="H162" s="141">
        <v>110.5</v>
      </c>
      <c r="I162" s="141">
        <v>121</v>
      </c>
      <c r="J162" s="141">
        <v>440.2</v>
      </c>
      <c r="K162" s="141">
        <v>121.63000065959393</v>
      </c>
      <c r="L162" s="141">
        <v>124.5</v>
      </c>
      <c r="M162" s="141">
        <v>145.80000000000001</v>
      </c>
      <c r="N162" s="141">
        <v>107</v>
      </c>
      <c r="O162" s="141">
        <v>193.5</v>
      </c>
      <c r="P162" s="141">
        <v>103.7</v>
      </c>
      <c r="Q162" s="141">
        <v>124</v>
      </c>
      <c r="R162" s="141">
        <v>107.1</v>
      </c>
      <c r="S162" s="141">
        <v>136.80000000000001</v>
      </c>
      <c r="T162" s="141">
        <v>192.3</v>
      </c>
      <c r="U162" s="141">
        <v>187.9</v>
      </c>
      <c r="V162" s="141">
        <v>112.5</v>
      </c>
      <c r="W162" s="141">
        <v>102.8</v>
      </c>
      <c r="X162" s="141">
        <v>107.1</v>
      </c>
      <c r="Y162" s="141">
        <v>105.6</v>
      </c>
      <c r="Z162" s="141">
        <v>113.30645161290323</v>
      </c>
      <c r="AA162" s="141">
        <v>111.6</v>
      </c>
      <c r="AB162" s="141">
        <v>146.69999999999999</v>
      </c>
      <c r="AC162" s="141">
        <v>119.6</v>
      </c>
      <c r="AD162" s="141">
        <v>106.8</v>
      </c>
      <c r="AE162" s="141">
        <v>125.2</v>
      </c>
      <c r="AF162" s="141">
        <v>107.2</v>
      </c>
      <c r="AG162" s="141">
        <v>107.7</v>
      </c>
      <c r="AH162" s="141">
        <v>97.1</v>
      </c>
      <c r="AI162" s="141">
        <v>102.5</v>
      </c>
      <c r="AJ162" s="141">
        <v>125.6</v>
      </c>
      <c r="AK162" s="141">
        <v>150.5</v>
      </c>
      <c r="AL162" s="141">
        <v>184</v>
      </c>
      <c r="AM162" s="141">
        <v>122.8</v>
      </c>
      <c r="AN162" s="141">
        <v>109.06</v>
      </c>
      <c r="AO162" s="141">
        <v>118.3</v>
      </c>
      <c r="AP162" s="142">
        <v>117</v>
      </c>
    </row>
    <row r="163" spans="1:42" s="121" customFormat="1" x14ac:dyDescent="0.25">
      <c r="A163" s="140" cm="1">
        <f t="array" ref="A163:AP163">INDEX(INDICES,MATCH(EDATE(A162,1),'INDICES PRIX'!A:A,0),)</f>
        <v>44531</v>
      </c>
      <c r="B163" s="141">
        <v>109.4</v>
      </c>
      <c r="C163" s="141">
        <v>122.4</v>
      </c>
      <c r="D163" s="141">
        <v>123.2</v>
      </c>
      <c r="E163" s="141">
        <v>143.4</v>
      </c>
      <c r="F163" s="141">
        <v>131.08000000000001</v>
      </c>
      <c r="G163" s="141">
        <v>106.7</v>
      </c>
      <c r="H163" s="141">
        <v>111.4</v>
      </c>
      <c r="I163" s="141">
        <v>141.4</v>
      </c>
      <c r="J163" s="141">
        <v>453.8</v>
      </c>
      <c r="K163" s="141">
        <v>117.58807671987852</v>
      </c>
      <c r="L163" s="141">
        <v>124.2</v>
      </c>
      <c r="M163" s="141">
        <v>145.80000000000001</v>
      </c>
      <c r="N163" s="141">
        <v>106.9</v>
      </c>
      <c r="O163" s="141">
        <v>192.6</v>
      </c>
      <c r="P163" s="141">
        <v>103</v>
      </c>
      <c r="Q163" s="141">
        <v>122.8</v>
      </c>
      <c r="R163" s="141">
        <v>108.6</v>
      </c>
      <c r="S163" s="141">
        <v>137</v>
      </c>
      <c r="T163" s="141">
        <v>191.7</v>
      </c>
      <c r="U163" s="141">
        <v>183.9</v>
      </c>
      <c r="V163" s="141">
        <v>113.7</v>
      </c>
      <c r="W163" s="141">
        <v>100</v>
      </c>
      <c r="X163" s="141">
        <v>104.5</v>
      </c>
      <c r="Y163" s="141">
        <v>105</v>
      </c>
      <c r="Z163" s="141">
        <v>113.10483870967742</v>
      </c>
      <c r="AA163" s="141">
        <v>112.3</v>
      </c>
      <c r="AB163" s="141">
        <v>146.80000000000001</v>
      </c>
      <c r="AC163" s="141">
        <v>121.7</v>
      </c>
      <c r="AD163" s="141">
        <v>107.1</v>
      </c>
      <c r="AE163" s="141">
        <v>127.7</v>
      </c>
      <c r="AF163" s="141">
        <v>107.6</v>
      </c>
      <c r="AG163" s="141">
        <v>107.7</v>
      </c>
      <c r="AH163" s="141">
        <v>96.9</v>
      </c>
      <c r="AI163" s="141">
        <v>102.9</v>
      </c>
      <c r="AJ163" s="141">
        <v>120.5</v>
      </c>
      <c r="AK163" s="141">
        <v>150.5</v>
      </c>
      <c r="AL163" s="141">
        <v>180.3</v>
      </c>
      <c r="AM163" s="141">
        <v>123.9</v>
      </c>
      <c r="AN163" s="141">
        <v>109.24</v>
      </c>
      <c r="AO163" s="141">
        <v>118.7</v>
      </c>
      <c r="AP163" s="142">
        <v>119</v>
      </c>
    </row>
    <row r="164" spans="1:42" s="121" customFormat="1" x14ac:dyDescent="0.25">
      <c r="A164" s="140" cm="1">
        <f t="array" ref="A164:AP164">INDEX(INDICES,MATCH(EDATE(A163,1),'INDICES PRIX'!A:A,0),)</f>
        <v>44562</v>
      </c>
      <c r="B164" s="141">
        <v>110.8</v>
      </c>
      <c r="C164" s="141">
        <v>122.6</v>
      </c>
      <c r="D164" s="141">
        <v>123.6</v>
      </c>
      <c r="E164" s="141">
        <v>156.1</v>
      </c>
      <c r="F164" s="141">
        <v>138.13999999999999</v>
      </c>
      <c r="G164" s="141">
        <v>106.8</v>
      </c>
      <c r="H164" s="141">
        <v>111.4</v>
      </c>
      <c r="I164" s="141">
        <v>153.9</v>
      </c>
      <c r="J164" s="141">
        <v>525.1</v>
      </c>
      <c r="K164" s="141">
        <v>133.34803453745306</v>
      </c>
      <c r="L164" s="141">
        <v>126.1</v>
      </c>
      <c r="M164" s="141">
        <v>152.6</v>
      </c>
      <c r="N164" s="141">
        <v>109.8</v>
      </c>
      <c r="O164" s="141">
        <v>193.7</v>
      </c>
      <c r="P164" s="141">
        <v>105.7</v>
      </c>
      <c r="Q164" s="141">
        <v>124.9</v>
      </c>
      <c r="R164" s="141">
        <v>123</v>
      </c>
      <c r="S164" s="141">
        <v>151.1</v>
      </c>
      <c r="T164" s="141">
        <v>192.2</v>
      </c>
      <c r="U164" s="141">
        <v>182.4</v>
      </c>
      <c r="V164" s="141">
        <v>114.2</v>
      </c>
      <c r="W164" s="141">
        <v>104.6</v>
      </c>
      <c r="X164" s="141">
        <v>110.6</v>
      </c>
      <c r="Y164" s="141">
        <v>111.2</v>
      </c>
      <c r="Z164" s="141">
        <v>114.51612903225806</v>
      </c>
      <c r="AA164" s="141">
        <v>113.8</v>
      </c>
      <c r="AB164" s="141">
        <v>154.80000000000001</v>
      </c>
      <c r="AC164" s="141">
        <v>131.4</v>
      </c>
      <c r="AD164" s="141">
        <v>109.5</v>
      </c>
      <c r="AE164" s="141">
        <v>131.6</v>
      </c>
      <c r="AF164" s="141">
        <v>110.3</v>
      </c>
      <c r="AG164" s="141">
        <v>111.4</v>
      </c>
      <c r="AH164" s="141">
        <v>98</v>
      </c>
      <c r="AI164" s="141">
        <v>102.9</v>
      </c>
      <c r="AJ164" s="141">
        <v>124.1</v>
      </c>
      <c r="AK164" s="141">
        <v>173.6</v>
      </c>
      <c r="AL164" s="141">
        <v>176.4</v>
      </c>
      <c r="AM164" s="141">
        <v>126.2</v>
      </c>
      <c r="AN164" s="141">
        <v>110.08</v>
      </c>
      <c r="AO164" s="141">
        <v>124.9</v>
      </c>
      <c r="AP164" s="142">
        <v>130.19999999999999</v>
      </c>
    </row>
    <row r="165" spans="1:42" s="121" customFormat="1" x14ac:dyDescent="0.25">
      <c r="A165" s="140" cm="1">
        <f t="array" ref="A165:AP165">INDEX(INDICES,MATCH(EDATE(A164,1),'INDICES PRIX'!A:A,0),)</f>
        <v>44593</v>
      </c>
      <c r="B165" s="141">
        <v>111.3</v>
      </c>
      <c r="C165" s="141">
        <v>122.8</v>
      </c>
      <c r="D165" s="141">
        <v>124</v>
      </c>
      <c r="E165" s="141">
        <v>167.4</v>
      </c>
      <c r="F165" s="141">
        <v>145.84</v>
      </c>
      <c r="G165" s="141">
        <v>106.8</v>
      </c>
      <c r="H165" s="141">
        <v>111.4</v>
      </c>
      <c r="I165" s="141">
        <v>159</v>
      </c>
      <c r="J165" s="141">
        <v>410.7</v>
      </c>
      <c r="K165" s="141">
        <v>144.33923121562654</v>
      </c>
      <c r="L165" s="141">
        <v>127.4</v>
      </c>
      <c r="M165" s="141">
        <v>152.5</v>
      </c>
      <c r="N165" s="141">
        <v>109.6</v>
      </c>
      <c r="O165" s="141">
        <v>196.9</v>
      </c>
      <c r="P165" s="141">
        <v>105.7</v>
      </c>
      <c r="Q165" s="141">
        <v>127.6</v>
      </c>
      <c r="R165" s="141">
        <v>122</v>
      </c>
      <c r="S165" s="141">
        <v>155</v>
      </c>
      <c r="T165" s="141">
        <v>199</v>
      </c>
      <c r="U165" s="141">
        <v>198</v>
      </c>
      <c r="V165" s="141">
        <v>118.2</v>
      </c>
      <c r="W165" s="141">
        <v>105.1</v>
      </c>
      <c r="X165" s="141">
        <v>109.4</v>
      </c>
      <c r="Y165" s="141">
        <v>116</v>
      </c>
      <c r="Z165" s="141">
        <v>114.21370967741936</v>
      </c>
      <c r="AA165" s="141">
        <v>113.9</v>
      </c>
      <c r="AB165" s="141">
        <v>156.80000000000001</v>
      </c>
      <c r="AC165" s="141">
        <v>132.5</v>
      </c>
      <c r="AD165" s="141">
        <v>112.5</v>
      </c>
      <c r="AE165" s="141">
        <v>134.4</v>
      </c>
      <c r="AF165" s="141">
        <v>112.1</v>
      </c>
      <c r="AG165" s="141">
        <v>113</v>
      </c>
      <c r="AH165" s="141">
        <v>99</v>
      </c>
      <c r="AI165" s="141">
        <v>102.6</v>
      </c>
      <c r="AJ165" s="141">
        <v>138.5</v>
      </c>
      <c r="AK165" s="141">
        <v>174.5</v>
      </c>
      <c r="AL165" s="141">
        <v>175.6</v>
      </c>
      <c r="AM165" s="141">
        <v>127.1</v>
      </c>
      <c r="AN165" s="141">
        <v>110.46</v>
      </c>
      <c r="AO165" s="141">
        <v>126.3</v>
      </c>
      <c r="AP165" s="142">
        <v>133</v>
      </c>
    </row>
    <row r="166" spans="1:42" s="121" customFormat="1" x14ac:dyDescent="0.25">
      <c r="A166" s="140" cm="1">
        <f t="array" ref="A166:AP166">INDEX(INDICES,MATCH(EDATE(A165,1),'INDICES PRIX'!A:A,0),)</f>
        <v>44621</v>
      </c>
      <c r="B166" s="141">
        <v>111.1</v>
      </c>
      <c r="C166" s="141">
        <v>123</v>
      </c>
      <c r="D166" s="141">
        <v>124.5</v>
      </c>
      <c r="E166" s="141">
        <v>224.4</v>
      </c>
      <c r="F166" s="141">
        <v>171.16</v>
      </c>
      <c r="G166" s="141">
        <v>106.8</v>
      </c>
      <c r="H166" s="141">
        <v>111.4</v>
      </c>
      <c r="I166" s="141">
        <v>173</v>
      </c>
      <c r="J166" s="141">
        <v>466.9</v>
      </c>
      <c r="K166" s="141">
        <v>191.7609265609718</v>
      </c>
      <c r="L166" s="141">
        <v>127.2</v>
      </c>
      <c r="M166" s="141">
        <v>152.5</v>
      </c>
      <c r="N166" s="141">
        <v>109.3</v>
      </c>
      <c r="O166" s="141">
        <v>213.4</v>
      </c>
      <c r="P166" s="141">
        <v>106.1</v>
      </c>
      <c r="Q166" s="141">
        <v>129.5</v>
      </c>
      <c r="R166" s="141">
        <v>121.8</v>
      </c>
      <c r="S166" s="141">
        <v>167.8</v>
      </c>
      <c r="T166" s="141">
        <v>208.8</v>
      </c>
      <c r="U166" s="141">
        <v>224.3</v>
      </c>
      <c r="V166" s="141">
        <v>117.3</v>
      </c>
      <c r="W166" s="141">
        <v>106.4</v>
      </c>
      <c r="X166" s="141">
        <v>110.8</v>
      </c>
      <c r="Y166" s="141">
        <v>118.7</v>
      </c>
      <c r="Z166" s="141">
        <v>113.10483870967742</v>
      </c>
      <c r="AA166" s="141">
        <v>115.4</v>
      </c>
      <c r="AB166" s="141">
        <v>160</v>
      </c>
      <c r="AC166" s="141">
        <v>135.6</v>
      </c>
      <c r="AD166" s="141">
        <v>112.4</v>
      </c>
      <c r="AE166" s="141">
        <v>134.6</v>
      </c>
      <c r="AF166" s="141">
        <v>112.5</v>
      </c>
      <c r="AG166" s="141">
        <v>113.3</v>
      </c>
      <c r="AH166" s="141">
        <v>99.2</v>
      </c>
      <c r="AI166" s="141">
        <v>102.9</v>
      </c>
      <c r="AJ166" s="141">
        <v>126.4</v>
      </c>
      <c r="AK166" s="141">
        <v>180</v>
      </c>
      <c r="AL166" s="141">
        <v>178.1</v>
      </c>
      <c r="AM166" s="141">
        <v>129.6</v>
      </c>
      <c r="AN166" s="141">
        <v>111.45</v>
      </c>
      <c r="AO166" s="141">
        <v>126.9</v>
      </c>
      <c r="AP166" s="142">
        <v>142</v>
      </c>
    </row>
    <row r="167" spans="1:42" x14ac:dyDescent="0.25">
      <c r="A167" s="140" cm="1">
        <f t="array" ref="A167:AP167">INDEX(INDICES,MATCH(EDATE(A166,1),'INDICES PRIX'!A:A,0),)</f>
        <v>44652</v>
      </c>
      <c r="B167" s="141">
        <v>113.4</v>
      </c>
      <c r="C167" s="141">
        <v>123.2</v>
      </c>
      <c r="D167" s="141">
        <v>124.8</v>
      </c>
      <c r="E167" s="141">
        <v>188.1</v>
      </c>
      <c r="F167" s="141">
        <v>158.51</v>
      </c>
      <c r="G167" s="141">
        <v>109.9</v>
      </c>
      <c r="H167" s="141">
        <v>115.1</v>
      </c>
      <c r="I167" s="141">
        <v>159.19999999999999</v>
      </c>
      <c r="J167" s="141">
        <v>582.29999999999995</v>
      </c>
      <c r="K167" s="141">
        <v>166.232985889085</v>
      </c>
      <c r="L167" s="141">
        <v>130.19999999999999</v>
      </c>
      <c r="M167" s="141">
        <v>160.30000000000001</v>
      </c>
      <c r="N167" s="141">
        <v>111.3</v>
      </c>
      <c r="O167" s="141">
        <v>249.2</v>
      </c>
      <c r="P167" s="141">
        <v>107.5</v>
      </c>
      <c r="Q167" s="141">
        <v>133.69999999999999</v>
      </c>
      <c r="R167" s="141">
        <v>123.5</v>
      </c>
      <c r="S167" s="141">
        <v>167.9</v>
      </c>
      <c r="T167" s="141">
        <v>244.4</v>
      </c>
      <c r="U167" s="141">
        <v>256</v>
      </c>
      <c r="V167" s="141">
        <v>118.1</v>
      </c>
      <c r="W167" s="141">
        <v>106.9</v>
      </c>
      <c r="X167" s="141">
        <v>115.6</v>
      </c>
      <c r="Y167" s="141">
        <v>123.6</v>
      </c>
      <c r="Z167" s="141">
        <v>112.5</v>
      </c>
      <c r="AA167" s="141">
        <v>116.8</v>
      </c>
      <c r="AB167" s="141">
        <v>171.9</v>
      </c>
      <c r="AC167" s="141">
        <v>138.69999999999999</v>
      </c>
      <c r="AD167" s="141">
        <v>112.5</v>
      </c>
      <c r="AE167" s="141">
        <v>139.1</v>
      </c>
      <c r="AF167" s="141">
        <v>113.7</v>
      </c>
      <c r="AG167" s="141">
        <v>114.8</v>
      </c>
      <c r="AH167" s="141">
        <v>99.1</v>
      </c>
      <c r="AI167" s="141">
        <v>103.5</v>
      </c>
      <c r="AJ167" s="141">
        <v>125</v>
      </c>
      <c r="AK167" s="141">
        <v>194.1</v>
      </c>
      <c r="AL167" s="141">
        <v>181.2</v>
      </c>
      <c r="AM167" s="141">
        <v>131.6</v>
      </c>
      <c r="AN167" s="141">
        <v>110.96</v>
      </c>
      <c r="AO167" s="141">
        <v>126.7</v>
      </c>
      <c r="AP167" s="142">
        <v>144.5</v>
      </c>
    </row>
    <row r="168" spans="1:42" x14ac:dyDescent="0.25">
      <c r="A168" s="140" cm="1">
        <f t="array" ref="A168:AP168">INDEX(INDICES,MATCH(EDATE(A167,1),'INDICES PRIX'!A:A,0),)</f>
        <v>44682</v>
      </c>
      <c r="B168" s="141">
        <v>113.2</v>
      </c>
      <c r="C168" s="141">
        <v>123.5</v>
      </c>
      <c r="D168" s="141">
        <v>125.2</v>
      </c>
      <c r="E168" s="141">
        <v>188.8</v>
      </c>
      <c r="F168" s="141">
        <v>161.19</v>
      </c>
      <c r="G168" s="141">
        <v>110.4</v>
      </c>
      <c r="H168" s="141">
        <v>115.1</v>
      </c>
      <c r="I168" s="141">
        <v>137.69999999999999</v>
      </c>
      <c r="J168" s="141">
        <v>463.2</v>
      </c>
      <c r="K168" s="141">
        <v>169.10487921467225</v>
      </c>
      <c r="L168" s="141">
        <v>135.69999999999999</v>
      </c>
      <c r="M168" s="141">
        <v>160.5</v>
      </c>
      <c r="N168" s="141">
        <v>112.6</v>
      </c>
      <c r="O168" s="141">
        <v>270.7</v>
      </c>
      <c r="P168" s="141">
        <v>108.3</v>
      </c>
      <c r="Q168" s="141">
        <v>138.19999999999999</v>
      </c>
      <c r="R168" s="141">
        <v>126.5</v>
      </c>
      <c r="S168" s="141">
        <v>171.6</v>
      </c>
      <c r="T168" s="141">
        <v>265.3</v>
      </c>
      <c r="U168" s="141">
        <v>248.1</v>
      </c>
      <c r="V168" s="141">
        <v>118.9</v>
      </c>
      <c r="W168" s="141">
        <v>109.1</v>
      </c>
      <c r="X168" s="141">
        <v>121</v>
      </c>
      <c r="Y168" s="141">
        <v>127.6</v>
      </c>
      <c r="Z168" s="141">
        <v>117.6</v>
      </c>
      <c r="AA168" s="141">
        <v>116.9</v>
      </c>
      <c r="AB168" s="141">
        <v>178.4</v>
      </c>
      <c r="AC168" s="141">
        <v>139.6</v>
      </c>
      <c r="AD168" s="141">
        <v>114.2</v>
      </c>
      <c r="AE168" s="141">
        <v>141.6</v>
      </c>
      <c r="AF168" s="141">
        <v>114.7</v>
      </c>
      <c r="AG168" s="141">
        <v>115</v>
      </c>
      <c r="AH168" s="141">
        <v>100.9</v>
      </c>
      <c r="AI168" s="141">
        <v>103.8</v>
      </c>
      <c r="AJ168" s="141">
        <v>132.5</v>
      </c>
      <c r="AK168" s="141">
        <v>197.9</v>
      </c>
      <c r="AL168" s="141">
        <v>188.4</v>
      </c>
      <c r="AM168" s="141">
        <v>134.19999999999999</v>
      </c>
      <c r="AN168" s="141">
        <v>112.72</v>
      </c>
      <c r="AO168" s="141">
        <v>126.9</v>
      </c>
      <c r="AP168" s="142">
        <v>141.69999999999999</v>
      </c>
    </row>
    <row r="169" spans="1:42" x14ac:dyDescent="0.25">
      <c r="A169" s="140" cm="1">
        <f t="array" ref="A169:AP169">INDEX(INDICES,MATCH(EDATE(A168,1),'INDICES PRIX'!A:A,0),)</f>
        <v>44713</v>
      </c>
      <c r="B169" s="141">
        <v>113.3</v>
      </c>
      <c r="C169" s="141">
        <v>123.7</v>
      </c>
      <c r="D169" s="141">
        <v>125.5</v>
      </c>
      <c r="E169" s="141">
        <v>220</v>
      </c>
      <c r="F169" s="141">
        <v>177.37</v>
      </c>
      <c r="G169" s="141">
        <v>111.8</v>
      </c>
      <c r="H169" s="141">
        <v>115.1</v>
      </c>
      <c r="I169" s="141">
        <v>119.7</v>
      </c>
      <c r="J169" s="141">
        <v>470.1</v>
      </c>
      <c r="K169" s="141">
        <v>198.40882777760893</v>
      </c>
      <c r="L169" s="141">
        <v>137.6</v>
      </c>
      <c r="M169" s="141">
        <v>160.6</v>
      </c>
      <c r="N169" s="141">
        <v>112</v>
      </c>
      <c r="O169" s="141">
        <v>256.3</v>
      </c>
      <c r="P169" s="141">
        <v>109.6</v>
      </c>
      <c r="Q169" s="141">
        <v>140.69999999999999</v>
      </c>
      <c r="R169" s="141">
        <v>132.4</v>
      </c>
      <c r="S169" s="141">
        <v>175.7</v>
      </c>
      <c r="T169" s="141">
        <v>253.5</v>
      </c>
      <c r="U169" s="141">
        <v>260.7</v>
      </c>
      <c r="V169" s="141">
        <v>123.4</v>
      </c>
      <c r="W169" s="141">
        <v>110.6</v>
      </c>
      <c r="X169" s="141">
        <v>123.9</v>
      </c>
      <c r="Y169" s="141">
        <v>128.69999999999999</v>
      </c>
      <c r="Z169" s="141">
        <v>121.5</v>
      </c>
      <c r="AA169" s="141">
        <v>118.4</v>
      </c>
      <c r="AB169" s="141">
        <v>175.9</v>
      </c>
      <c r="AC169" s="141">
        <v>147.5</v>
      </c>
      <c r="AD169" s="141">
        <v>117.1</v>
      </c>
      <c r="AE169" s="141">
        <v>143.1</v>
      </c>
      <c r="AF169" s="141">
        <v>115.5</v>
      </c>
      <c r="AG169" s="141">
        <v>115.6</v>
      </c>
      <c r="AH169" s="141">
        <v>101.9</v>
      </c>
      <c r="AI169" s="141">
        <v>103.6</v>
      </c>
      <c r="AJ169" s="141">
        <v>138.4</v>
      </c>
      <c r="AK169" s="141">
        <v>197.6</v>
      </c>
      <c r="AL169" s="141">
        <v>184.8</v>
      </c>
      <c r="AM169" s="141">
        <v>133.6</v>
      </c>
      <c r="AN169" s="141">
        <v>114.25</v>
      </c>
      <c r="AO169" s="141">
        <v>126.8</v>
      </c>
      <c r="AP169" s="142">
        <v>136.69999999999999</v>
      </c>
    </row>
    <row r="170" spans="1:42" x14ac:dyDescent="0.25">
      <c r="A170" s="140" cm="1">
        <f t="array" ref="A170:AP170">INDEX(INDICES,MATCH(EDATE(A169,1),'INDICES PRIX'!A:A,0),)</f>
        <v>44743</v>
      </c>
      <c r="B170" s="141">
        <v>116.6</v>
      </c>
      <c r="C170" s="141">
        <v>123.7</v>
      </c>
      <c r="D170" s="141">
        <v>125.5</v>
      </c>
      <c r="E170" s="141">
        <v>198.7</v>
      </c>
      <c r="F170" s="141">
        <v>169.9</v>
      </c>
      <c r="G170" s="141">
        <v>115.2</v>
      </c>
      <c r="H170" s="141">
        <v>117.1</v>
      </c>
      <c r="I170" s="141">
        <v>121.5</v>
      </c>
      <c r="J170" s="141">
        <v>555.29999999999995</v>
      </c>
      <c r="K170" s="141">
        <v>182.79069185265595</v>
      </c>
      <c r="L170" s="141">
        <v>135.9</v>
      </c>
      <c r="M170" s="141">
        <v>160.6</v>
      </c>
      <c r="N170" s="141">
        <v>113.3</v>
      </c>
      <c r="O170" s="141">
        <v>246.9</v>
      </c>
      <c r="P170" s="141">
        <v>110.7</v>
      </c>
      <c r="Q170" s="141">
        <v>140.4</v>
      </c>
      <c r="R170" s="141">
        <v>133.6</v>
      </c>
      <c r="S170" s="141">
        <v>172</v>
      </c>
      <c r="T170" s="141">
        <v>252.4</v>
      </c>
      <c r="U170" s="141">
        <v>243.5</v>
      </c>
      <c r="V170" s="141">
        <v>125.3</v>
      </c>
      <c r="W170" s="141">
        <v>110.4</v>
      </c>
      <c r="X170" s="141">
        <v>126.1</v>
      </c>
      <c r="Y170" s="141">
        <v>132.5</v>
      </c>
      <c r="Z170" s="141">
        <v>124</v>
      </c>
      <c r="AA170" s="141">
        <v>118.4</v>
      </c>
      <c r="AB170" s="141">
        <v>168.4</v>
      </c>
      <c r="AC170" s="141">
        <v>155</v>
      </c>
      <c r="AD170" s="141">
        <v>121.2</v>
      </c>
      <c r="AE170" s="141">
        <v>143.1</v>
      </c>
      <c r="AF170" s="141">
        <v>116.3</v>
      </c>
      <c r="AG170" s="141">
        <v>116.8</v>
      </c>
      <c r="AH170" s="141">
        <v>101.6</v>
      </c>
      <c r="AI170" s="141">
        <v>104.5</v>
      </c>
      <c r="AJ170" s="141">
        <v>143.6</v>
      </c>
      <c r="AK170" s="141">
        <v>190.4</v>
      </c>
      <c r="AL170" s="141">
        <v>195.8</v>
      </c>
      <c r="AM170" s="141">
        <v>134.30000000000001</v>
      </c>
      <c r="AN170" s="141">
        <v>118.88</v>
      </c>
      <c r="AO170" s="141">
        <v>127.5</v>
      </c>
      <c r="AP170" s="142">
        <v>132.1</v>
      </c>
    </row>
    <row r="171" spans="1:42" x14ac:dyDescent="0.25">
      <c r="A171" s="140" cm="1">
        <f t="array" ref="A171:AP171">INDEX(INDICES,MATCH(EDATE(A170,1),'INDICES PRIX'!A:A,0),)</f>
        <v>44774</v>
      </c>
      <c r="B171" s="141">
        <v>116.6</v>
      </c>
      <c r="C171" s="141">
        <v>123.7</v>
      </c>
      <c r="D171" s="141">
        <v>125.5</v>
      </c>
      <c r="E171" s="141">
        <v>189.1</v>
      </c>
      <c r="F171" s="141">
        <v>158.9</v>
      </c>
      <c r="G171" s="141">
        <v>115.3</v>
      </c>
      <c r="H171" s="141">
        <v>117.1</v>
      </c>
      <c r="I171" s="141">
        <v>122.9</v>
      </c>
      <c r="J171" s="141">
        <v>820.3</v>
      </c>
      <c r="K171" s="141">
        <v>165.98479757699718</v>
      </c>
      <c r="L171" s="141">
        <v>136.9</v>
      </c>
      <c r="M171" s="141">
        <v>160.6</v>
      </c>
      <c r="N171" s="141">
        <v>116.6</v>
      </c>
      <c r="O171" s="141">
        <v>241.2</v>
      </c>
      <c r="P171" s="141">
        <v>111.1</v>
      </c>
      <c r="Q171" s="141">
        <v>139.30000000000001</v>
      </c>
      <c r="R171" s="141">
        <v>133.4</v>
      </c>
      <c r="S171" s="141">
        <v>172.4</v>
      </c>
      <c r="T171" s="141">
        <v>252.7</v>
      </c>
      <c r="U171" s="141">
        <v>215.4</v>
      </c>
      <c r="V171" s="141">
        <v>123.3</v>
      </c>
      <c r="W171" s="141">
        <v>111.7</v>
      </c>
      <c r="X171" s="141">
        <v>125.8</v>
      </c>
      <c r="Y171" s="141">
        <v>133.9</v>
      </c>
      <c r="Z171" s="141">
        <v>124.5</v>
      </c>
      <c r="AA171" s="141">
        <v>117.8</v>
      </c>
      <c r="AB171" s="141">
        <v>170</v>
      </c>
      <c r="AC171" s="141">
        <v>157.4</v>
      </c>
      <c r="AD171" s="141">
        <v>122.7</v>
      </c>
      <c r="AE171" s="141">
        <v>143.1</v>
      </c>
      <c r="AF171" s="141">
        <v>118</v>
      </c>
      <c r="AG171" s="141">
        <v>118.7</v>
      </c>
      <c r="AH171" s="141">
        <v>102</v>
      </c>
      <c r="AI171" s="141">
        <v>104.6</v>
      </c>
      <c r="AJ171" s="141">
        <v>146.80000000000001</v>
      </c>
      <c r="AK171" s="141">
        <v>185.7</v>
      </c>
      <c r="AL171" s="141">
        <v>189.2</v>
      </c>
      <c r="AM171" s="141">
        <v>134.9</v>
      </c>
      <c r="AN171" s="141">
        <v>120.65</v>
      </c>
      <c r="AO171" s="141">
        <v>127.5</v>
      </c>
      <c r="AP171" s="142">
        <v>127.9</v>
      </c>
    </row>
    <row r="172" spans="1:42" x14ac:dyDescent="0.25">
      <c r="A172" s="140" cm="1">
        <f t="array" ref="A172:AP172">INDEX(INDICES,MATCH(EDATE(A171,1),'INDICES PRIX'!A:A,0),)</f>
        <v>44805</v>
      </c>
      <c r="B172" s="144">
        <v>117.1</v>
      </c>
      <c r="C172" s="144">
        <v>123.7</v>
      </c>
      <c r="D172" s="144">
        <v>125.5</v>
      </c>
      <c r="E172" s="144">
        <v>175</v>
      </c>
      <c r="F172" s="144">
        <v>148.12</v>
      </c>
      <c r="G172" s="144">
        <v>112.8</v>
      </c>
      <c r="H172" s="144">
        <v>117.1</v>
      </c>
      <c r="I172" s="144">
        <v>119.8</v>
      </c>
      <c r="J172" s="144">
        <v>972.8</v>
      </c>
      <c r="K172" s="144">
        <v>145.70426693210933</v>
      </c>
      <c r="L172" s="144">
        <v>135.69999999999999</v>
      </c>
      <c r="M172" s="144">
        <v>160.6</v>
      </c>
      <c r="N172" s="144">
        <v>114.6</v>
      </c>
      <c r="O172" s="144">
        <v>229.2</v>
      </c>
      <c r="P172" s="144">
        <v>110.9</v>
      </c>
      <c r="Q172" s="144">
        <v>136.69999999999999</v>
      </c>
      <c r="R172" s="144">
        <v>133.9</v>
      </c>
      <c r="S172" s="144">
        <v>166.9</v>
      </c>
      <c r="T172" s="144">
        <v>241.5</v>
      </c>
      <c r="U172" s="144">
        <v>212.8</v>
      </c>
      <c r="V172" s="144">
        <v>119.2</v>
      </c>
      <c r="W172" s="144">
        <v>111.8</v>
      </c>
      <c r="X172" s="144">
        <v>127</v>
      </c>
      <c r="Y172" s="144">
        <v>133.19999999999999</v>
      </c>
      <c r="Z172" s="144">
        <v>125.6</v>
      </c>
      <c r="AA172" s="144">
        <v>118.4</v>
      </c>
      <c r="AB172" s="144">
        <v>164.8</v>
      </c>
      <c r="AC172" s="144">
        <v>151.19999999999999</v>
      </c>
      <c r="AD172" s="144">
        <v>120.3</v>
      </c>
      <c r="AE172" s="144">
        <v>143.1</v>
      </c>
      <c r="AF172" s="144">
        <v>117</v>
      </c>
      <c r="AG172" s="144">
        <v>116.8</v>
      </c>
      <c r="AH172" s="144">
        <v>103</v>
      </c>
      <c r="AI172" s="144">
        <v>104.8</v>
      </c>
      <c r="AJ172" s="144">
        <v>152.80000000000001</v>
      </c>
      <c r="AK172" s="144">
        <v>183.8</v>
      </c>
      <c r="AL172" s="144">
        <v>168.9</v>
      </c>
      <c r="AM172" s="144">
        <v>135.19999999999999</v>
      </c>
      <c r="AN172" s="144">
        <v>114.92</v>
      </c>
      <c r="AO172" s="144">
        <v>127.5</v>
      </c>
      <c r="AP172" s="145">
        <v>130.30000000000001</v>
      </c>
    </row>
    <row r="173" spans="1:42" s="121" customFormat="1" x14ac:dyDescent="0.25">
      <c r="A173" s="136" t="s">
        <v>222</v>
      </c>
      <c r="B173" s="121">
        <f>SUM(B167:B172)</f>
        <v>690.2</v>
      </c>
      <c r="C173" s="121">
        <f t="shared" ref="C173:AP173" si="30">SUM(C167:C172)</f>
        <v>741.5</v>
      </c>
      <c r="D173" s="121">
        <f t="shared" si="30"/>
        <v>752</v>
      </c>
      <c r="E173" s="121">
        <f t="shared" si="30"/>
        <v>1159.6999999999998</v>
      </c>
      <c r="F173" s="121">
        <f t="shared" si="30"/>
        <v>973.99</v>
      </c>
      <c r="G173" s="121">
        <f t="shared" si="30"/>
        <v>675.4</v>
      </c>
      <c r="H173" s="121">
        <f t="shared" si="30"/>
        <v>696.6</v>
      </c>
      <c r="I173" s="121">
        <f t="shared" si="30"/>
        <v>780.79999999999984</v>
      </c>
      <c r="J173" s="121">
        <f t="shared" si="30"/>
        <v>3864</v>
      </c>
      <c r="K173" s="121">
        <f t="shared" si="30"/>
        <v>1028.2264492431286</v>
      </c>
      <c r="L173" s="121">
        <f t="shared" si="30"/>
        <v>812</v>
      </c>
      <c r="M173" s="121">
        <f t="shared" si="30"/>
        <v>963.2</v>
      </c>
      <c r="N173" s="121">
        <f t="shared" si="30"/>
        <v>680.4</v>
      </c>
      <c r="O173" s="121">
        <f t="shared" si="30"/>
        <v>1493.5</v>
      </c>
      <c r="P173" s="121">
        <f t="shared" si="30"/>
        <v>658.09999999999991</v>
      </c>
      <c r="Q173" s="121">
        <f t="shared" si="30"/>
        <v>829</v>
      </c>
      <c r="R173" s="121">
        <f t="shared" si="30"/>
        <v>783.3</v>
      </c>
      <c r="S173" s="121">
        <f t="shared" si="30"/>
        <v>1026.5</v>
      </c>
      <c r="T173" s="121">
        <f t="shared" si="30"/>
        <v>1509.8</v>
      </c>
      <c r="U173" s="121">
        <f t="shared" si="30"/>
        <v>1436.5</v>
      </c>
      <c r="V173" s="121">
        <f t="shared" si="30"/>
        <v>728.2</v>
      </c>
      <c r="W173" s="121">
        <f t="shared" si="30"/>
        <v>660.5</v>
      </c>
      <c r="X173" s="121">
        <f t="shared" si="30"/>
        <v>739.4</v>
      </c>
      <c r="Y173" s="121">
        <f t="shared" si="30"/>
        <v>779.5</v>
      </c>
      <c r="Z173" s="121">
        <f t="shared" si="30"/>
        <v>725.7</v>
      </c>
      <c r="AA173" s="121">
        <f t="shared" si="30"/>
        <v>706.69999999999993</v>
      </c>
      <c r="AB173" s="121">
        <f t="shared" si="30"/>
        <v>1029.4000000000001</v>
      </c>
      <c r="AC173" s="121">
        <f t="shared" si="30"/>
        <v>889.39999999999986</v>
      </c>
      <c r="AD173" s="121">
        <f t="shared" si="30"/>
        <v>707.99999999999989</v>
      </c>
      <c r="AE173" s="121">
        <f t="shared" si="30"/>
        <v>853.1</v>
      </c>
      <c r="AF173" s="121">
        <f t="shared" si="30"/>
        <v>695.2</v>
      </c>
      <c r="AG173" s="121">
        <f t="shared" si="30"/>
        <v>697.69999999999993</v>
      </c>
      <c r="AH173" s="121">
        <f t="shared" si="30"/>
        <v>608.5</v>
      </c>
      <c r="AI173" s="121">
        <f t="shared" si="30"/>
        <v>624.79999999999995</v>
      </c>
      <c r="AJ173" s="121">
        <f t="shared" si="30"/>
        <v>839.09999999999991</v>
      </c>
      <c r="AK173" s="121">
        <f t="shared" si="30"/>
        <v>1149.5</v>
      </c>
      <c r="AL173" s="121">
        <f t="shared" si="30"/>
        <v>1108.3000000000002</v>
      </c>
      <c r="AM173" s="121">
        <f t="shared" si="30"/>
        <v>803.8</v>
      </c>
      <c r="AN173" s="121">
        <f t="shared" si="30"/>
        <v>692.38</v>
      </c>
      <c r="AO173" s="121">
        <f t="shared" si="30"/>
        <v>762.90000000000009</v>
      </c>
      <c r="AP173" s="121">
        <f t="shared" si="30"/>
        <v>813.2</v>
      </c>
    </row>
    <row r="174" spans="1:42" s="121" customFormat="1" x14ac:dyDescent="0.25">
      <c r="A174" s="136" t="s">
        <v>223</v>
      </c>
      <c r="B174" s="121">
        <f>SUM(B161:B166)</f>
        <v>660.7</v>
      </c>
      <c r="C174" s="121">
        <f t="shared" ref="C174:AP174" si="31">SUM(C161:C166)</f>
        <v>735.9</v>
      </c>
      <c r="D174" s="121">
        <f t="shared" si="31"/>
        <v>741.5</v>
      </c>
      <c r="E174" s="121">
        <f t="shared" si="31"/>
        <v>983.36162712515613</v>
      </c>
      <c r="F174" s="121">
        <f t="shared" si="31"/>
        <v>852.3</v>
      </c>
      <c r="G174" s="121">
        <f t="shared" si="31"/>
        <v>639.09999999999991</v>
      </c>
      <c r="H174" s="121">
        <f t="shared" si="31"/>
        <v>666.59999999999991</v>
      </c>
      <c r="I174" s="121">
        <f t="shared" si="31"/>
        <v>861.5</v>
      </c>
      <c r="J174" s="121">
        <f t="shared" si="31"/>
        <v>2650.9</v>
      </c>
      <c r="K174" s="121">
        <f t="shared" si="31"/>
        <v>828.20439743694931</v>
      </c>
      <c r="L174" s="121">
        <f t="shared" si="31"/>
        <v>753.2</v>
      </c>
      <c r="M174" s="121">
        <f t="shared" si="31"/>
        <v>894.5</v>
      </c>
      <c r="N174" s="121">
        <f t="shared" si="31"/>
        <v>649</v>
      </c>
      <c r="O174" s="121">
        <f t="shared" si="31"/>
        <v>1183.0999999999999</v>
      </c>
      <c r="P174" s="121">
        <f t="shared" si="31"/>
        <v>627.70000000000005</v>
      </c>
      <c r="Q174" s="121">
        <f t="shared" si="31"/>
        <v>750</v>
      </c>
      <c r="R174" s="121">
        <f t="shared" si="31"/>
        <v>689.09999999999991</v>
      </c>
      <c r="S174" s="121">
        <f t="shared" si="31"/>
        <v>884.5</v>
      </c>
      <c r="T174" s="121">
        <f t="shared" si="31"/>
        <v>1175.5</v>
      </c>
      <c r="U174" s="121">
        <f t="shared" si="31"/>
        <v>1152.4000000000001</v>
      </c>
      <c r="V174" s="121">
        <f t="shared" si="31"/>
        <v>687.3</v>
      </c>
      <c r="W174" s="121">
        <f t="shared" si="31"/>
        <v>621.9</v>
      </c>
      <c r="X174" s="121">
        <f t="shared" si="31"/>
        <v>647.99999999999989</v>
      </c>
      <c r="Y174" s="121">
        <f t="shared" si="31"/>
        <v>662.1</v>
      </c>
      <c r="Z174" s="121">
        <f t="shared" si="31"/>
        <v>680.84677419354841</v>
      </c>
      <c r="AA174" s="121">
        <f t="shared" si="31"/>
        <v>678.6</v>
      </c>
      <c r="AB174" s="121">
        <f t="shared" si="31"/>
        <v>904.5</v>
      </c>
      <c r="AC174" s="121">
        <f t="shared" si="31"/>
        <v>761.4</v>
      </c>
      <c r="AD174" s="121">
        <f t="shared" si="31"/>
        <v>654.5</v>
      </c>
      <c r="AE174" s="121">
        <f t="shared" si="31"/>
        <v>778.5</v>
      </c>
      <c r="AF174" s="121">
        <f t="shared" si="31"/>
        <v>656.6</v>
      </c>
      <c r="AG174" s="121">
        <f t="shared" si="31"/>
        <v>660.4</v>
      </c>
      <c r="AH174" s="121">
        <f t="shared" si="31"/>
        <v>587.20000000000005</v>
      </c>
      <c r="AI174" s="121">
        <f t="shared" si="31"/>
        <v>616.20000000000005</v>
      </c>
      <c r="AJ174" s="121">
        <f t="shared" si="31"/>
        <v>756.1</v>
      </c>
      <c r="AK174" s="121">
        <f t="shared" si="31"/>
        <v>979.8</v>
      </c>
      <c r="AL174" s="121">
        <f t="shared" si="31"/>
        <v>1081.2</v>
      </c>
      <c r="AM174" s="121">
        <f t="shared" si="31"/>
        <v>751.8</v>
      </c>
      <c r="AN174" s="121">
        <f t="shared" si="31"/>
        <v>659.46</v>
      </c>
      <c r="AO174" s="121">
        <f t="shared" si="31"/>
        <v>733.4</v>
      </c>
      <c r="AP174" s="121">
        <f t="shared" si="31"/>
        <v>756.7</v>
      </c>
    </row>
    <row r="176" spans="1:42" s="121" customFormat="1" ht="18.75" x14ac:dyDescent="0.25">
      <c r="A176" s="136"/>
      <c r="B176" s="249" t="s">
        <v>275</v>
      </c>
      <c r="C176" s="249"/>
      <c r="D176" s="249"/>
      <c r="E176" s="249"/>
    </row>
    <row r="177" spans="1:42" s="121" customFormat="1" x14ac:dyDescent="0.25">
      <c r="A177" s="136"/>
      <c r="B177" s="251" t="s">
        <v>48</v>
      </c>
      <c r="C177" s="251"/>
      <c r="D177" s="251"/>
    </row>
    <row r="178" spans="1:42" s="121" customFormat="1" x14ac:dyDescent="0.25">
      <c r="A178" s="138" cm="1">
        <f t="array" ref="A178:AP178">INDEX(INDICES,MATCH(EDATE(DATE4,-5),'INDICES PRIX'!A:A,0),)</f>
        <v>44652</v>
      </c>
      <c r="B178" s="7">
        <v>113.4</v>
      </c>
      <c r="C178" s="55">
        <v>123.2</v>
      </c>
      <c r="D178" s="55">
        <v>124.8</v>
      </c>
      <c r="E178" s="55">
        <v>188.1</v>
      </c>
      <c r="F178" s="55">
        <v>158.51</v>
      </c>
      <c r="G178" s="55">
        <v>109.9</v>
      </c>
      <c r="H178" s="55">
        <v>115.1</v>
      </c>
      <c r="I178" s="55">
        <v>159.19999999999999</v>
      </c>
      <c r="J178" s="55">
        <v>582.29999999999995</v>
      </c>
      <c r="K178" s="55">
        <v>166.232985889085</v>
      </c>
      <c r="L178" s="55">
        <v>130.19999999999999</v>
      </c>
      <c r="M178" s="55">
        <v>160.30000000000001</v>
      </c>
      <c r="N178" s="55">
        <v>111.3</v>
      </c>
      <c r="O178" s="55">
        <v>249.2</v>
      </c>
      <c r="P178" s="55">
        <v>107.5</v>
      </c>
      <c r="Q178" s="55">
        <v>133.69999999999999</v>
      </c>
      <c r="R178" s="55">
        <v>123.5</v>
      </c>
      <c r="S178" s="55">
        <v>167.9</v>
      </c>
      <c r="T178" s="55">
        <v>244.4</v>
      </c>
      <c r="U178" s="55">
        <v>256</v>
      </c>
      <c r="V178" s="55">
        <v>118.1</v>
      </c>
      <c r="W178" s="55">
        <v>106.9</v>
      </c>
      <c r="X178" s="55">
        <v>115.6</v>
      </c>
      <c r="Y178" s="55">
        <v>123.6</v>
      </c>
      <c r="Z178" s="55">
        <v>112.5</v>
      </c>
      <c r="AA178" s="55">
        <v>116.8</v>
      </c>
      <c r="AB178" s="55">
        <v>171.9</v>
      </c>
      <c r="AC178" s="55">
        <v>138.69999999999999</v>
      </c>
      <c r="AD178" s="55">
        <v>112.5</v>
      </c>
      <c r="AE178" s="55">
        <v>139.1</v>
      </c>
      <c r="AF178" s="55">
        <v>113.7</v>
      </c>
      <c r="AG178" s="55">
        <v>114.8</v>
      </c>
      <c r="AH178" s="55">
        <v>99.1</v>
      </c>
      <c r="AI178" s="55">
        <v>103.5</v>
      </c>
      <c r="AJ178" s="55">
        <v>125</v>
      </c>
      <c r="AK178" s="55">
        <v>194.1</v>
      </c>
      <c r="AL178" s="55">
        <v>181.2</v>
      </c>
      <c r="AM178" s="55">
        <v>131.6</v>
      </c>
      <c r="AN178" s="55">
        <v>110.96</v>
      </c>
      <c r="AO178" s="55">
        <v>126.7</v>
      </c>
      <c r="AP178" s="8">
        <v>144.5</v>
      </c>
    </row>
    <row r="179" spans="1:42" s="121" customFormat="1" x14ac:dyDescent="0.25">
      <c r="A179" s="140" cm="1">
        <f t="array" ref="A179:AP179">INDEX(INDICES,MATCH(EDATE(A178,1),'INDICES PRIX'!A:A,0),)</f>
        <v>44682</v>
      </c>
      <c r="B179" s="150">
        <v>113.2</v>
      </c>
      <c r="C179" s="141">
        <v>123.5</v>
      </c>
      <c r="D179" s="141">
        <v>125.2</v>
      </c>
      <c r="E179" s="141">
        <v>188.8</v>
      </c>
      <c r="F179" s="141">
        <v>161.19</v>
      </c>
      <c r="G179" s="141">
        <v>110.4</v>
      </c>
      <c r="H179" s="141">
        <v>115.1</v>
      </c>
      <c r="I179" s="141">
        <v>137.69999999999999</v>
      </c>
      <c r="J179" s="141">
        <v>463.2</v>
      </c>
      <c r="K179" s="141">
        <v>169.10487921467225</v>
      </c>
      <c r="L179" s="141">
        <v>135.69999999999999</v>
      </c>
      <c r="M179" s="141">
        <v>160.5</v>
      </c>
      <c r="N179" s="141">
        <v>112.6</v>
      </c>
      <c r="O179" s="141">
        <v>270.7</v>
      </c>
      <c r="P179" s="141">
        <v>108.3</v>
      </c>
      <c r="Q179" s="141">
        <v>138.19999999999999</v>
      </c>
      <c r="R179" s="141">
        <v>126.5</v>
      </c>
      <c r="S179" s="141">
        <v>171.6</v>
      </c>
      <c r="T179" s="141">
        <v>265.3</v>
      </c>
      <c r="U179" s="141">
        <v>248.1</v>
      </c>
      <c r="V179" s="141">
        <v>118.9</v>
      </c>
      <c r="W179" s="141">
        <v>109.1</v>
      </c>
      <c r="X179" s="141">
        <v>121</v>
      </c>
      <c r="Y179" s="141">
        <v>127.6</v>
      </c>
      <c r="Z179" s="141">
        <v>117.6</v>
      </c>
      <c r="AA179" s="141">
        <v>116.9</v>
      </c>
      <c r="AB179" s="141">
        <v>178.4</v>
      </c>
      <c r="AC179" s="141">
        <v>139.6</v>
      </c>
      <c r="AD179" s="141">
        <v>114.2</v>
      </c>
      <c r="AE179" s="141">
        <v>141.6</v>
      </c>
      <c r="AF179" s="141">
        <v>114.7</v>
      </c>
      <c r="AG179" s="141">
        <v>115</v>
      </c>
      <c r="AH179" s="141">
        <v>100.9</v>
      </c>
      <c r="AI179" s="141">
        <v>103.8</v>
      </c>
      <c r="AJ179" s="141">
        <v>132.5</v>
      </c>
      <c r="AK179" s="141">
        <v>197.9</v>
      </c>
      <c r="AL179" s="141">
        <v>188.4</v>
      </c>
      <c r="AM179" s="141">
        <v>134.19999999999999</v>
      </c>
      <c r="AN179" s="141">
        <v>112.72</v>
      </c>
      <c r="AO179" s="141">
        <v>126.9</v>
      </c>
      <c r="AP179" s="142">
        <v>141.69999999999999</v>
      </c>
    </row>
    <row r="180" spans="1:42" s="121" customFormat="1" x14ac:dyDescent="0.25">
      <c r="A180" s="140" cm="1">
        <f t="array" ref="A180:AP180">INDEX(INDICES,MATCH(EDATE(A179,1),'INDICES PRIX'!A:A,0),)</f>
        <v>44713</v>
      </c>
      <c r="B180" s="150">
        <v>113.3</v>
      </c>
      <c r="C180" s="141">
        <v>123.7</v>
      </c>
      <c r="D180" s="141">
        <v>125.5</v>
      </c>
      <c r="E180" s="141">
        <v>220</v>
      </c>
      <c r="F180" s="141">
        <v>177.37</v>
      </c>
      <c r="G180" s="141">
        <v>111.8</v>
      </c>
      <c r="H180" s="141">
        <v>115.1</v>
      </c>
      <c r="I180" s="141">
        <v>119.7</v>
      </c>
      <c r="J180" s="141">
        <v>470.1</v>
      </c>
      <c r="K180" s="141">
        <v>198.40882777760893</v>
      </c>
      <c r="L180" s="141">
        <v>137.6</v>
      </c>
      <c r="M180" s="141">
        <v>160.6</v>
      </c>
      <c r="N180" s="141">
        <v>112</v>
      </c>
      <c r="O180" s="141">
        <v>256.3</v>
      </c>
      <c r="P180" s="141">
        <v>109.6</v>
      </c>
      <c r="Q180" s="141">
        <v>140.69999999999999</v>
      </c>
      <c r="R180" s="141">
        <v>132.4</v>
      </c>
      <c r="S180" s="141">
        <v>175.7</v>
      </c>
      <c r="T180" s="141">
        <v>253.5</v>
      </c>
      <c r="U180" s="141">
        <v>260.7</v>
      </c>
      <c r="V180" s="141">
        <v>123.4</v>
      </c>
      <c r="W180" s="141">
        <v>110.6</v>
      </c>
      <c r="X180" s="141">
        <v>123.9</v>
      </c>
      <c r="Y180" s="141">
        <v>128.69999999999999</v>
      </c>
      <c r="Z180" s="141">
        <v>121.5</v>
      </c>
      <c r="AA180" s="141">
        <v>118.4</v>
      </c>
      <c r="AB180" s="141">
        <v>175.9</v>
      </c>
      <c r="AC180" s="141">
        <v>147.5</v>
      </c>
      <c r="AD180" s="141">
        <v>117.1</v>
      </c>
      <c r="AE180" s="141">
        <v>143.1</v>
      </c>
      <c r="AF180" s="141">
        <v>115.5</v>
      </c>
      <c r="AG180" s="141">
        <v>115.6</v>
      </c>
      <c r="AH180" s="141">
        <v>101.9</v>
      </c>
      <c r="AI180" s="141">
        <v>103.6</v>
      </c>
      <c r="AJ180" s="141">
        <v>138.4</v>
      </c>
      <c r="AK180" s="141">
        <v>197.6</v>
      </c>
      <c r="AL180" s="141">
        <v>184.8</v>
      </c>
      <c r="AM180" s="141">
        <v>133.6</v>
      </c>
      <c r="AN180" s="141">
        <v>114.25</v>
      </c>
      <c r="AO180" s="141">
        <v>126.8</v>
      </c>
      <c r="AP180" s="142">
        <v>136.69999999999999</v>
      </c>
    </row>
    <row r="181" spans="1:42" s="121" customFormat="1" x14ac:dyDescent="0.25">
      <c r="A181" s="140" cm="1">
        <f t="array" ref="A181:AP181">INDEX(INDICES,MATCH(EDATE(A180,1),'INDICES PRIX'!A:A,0),)</f>
        <v>44743</v>
      </c>
      <c r="B181" s="150">
        <v>116.6</v>
      </c>
      <c r="C181" s="141">
        <v>123.7</v>
      </c>
      <c r="D181" s="141">
        <v>125.5</v>
      </c>
      <c r="E181" s="141">
        <v>198.7</v>
      </c>
      <c r="F181" s="141">
        <v>169.9</v>
      </c>
      <c r="G181" s="141">
        <v>115.2</v>
      </c>
      <c r="H181" s="141">
        <v>117.1</v>
      </c>
      <c r="I181" s="141">
        <v>121.5</v>
      </c>
      <c r="J181" s="141">
        <v>555.29999999999995</v>
      </c>
      <c r="K181" s="141">
        <v>182.79069185265595</v>
      </c>
      <c r="L181" s="141">
        <v>135.9</v>
      </c>
      <c r="M181" s="141">
        <v>160.6</v>
      </c>
      <c r="N181" s="141">
        <v>113.3</v>
      </c>
      <c r="O181" s="141">
        <v>246.9</v>
      </c>
      <c r="P181" s="141">
        <v>110.7</v>
      </c>
      <c r="Q181" s="141">
        <v>140.4</v>
      </c>
      <c r="R181" s="141">
        <v>133.6</v>
      </c>
      <c r="S181" s="141">
        <v>172</v>
      </c>
      <c r="T181" s="141">
        <v>252.4</v>
      </c>
      <c r="U181" s="141">
        <v>243.5</v>
      </c>
      <c r="V181" s="141">
        <v>125.3</v>
      </c>
      <c r="W181" s="141">
        <v>110.4</v>
      </c>
      <c r="X181" s="141">
        <v>126.1</v>
      </c>
      <c r="Y181" s="141">
        <v>132.5</v>
      </c>
      <c r="Z181" s="141">
        <v>124</v>
      </c>
      <c r="AA181" s="141">
        <v>118.4</v>
      </c>
      <c r="AB181" s="141">
        <v>168.4</v>
      </c>
      <c r="AC181" s="141">
        <v>155</v>
      </c>
      <c r="AD181" s="141">
        <v>121.2</v>
      </c>
      <c r="AE181" s="141">
        <v>143.1</v>
      </c>
      <c r="AF181" s="141">
        <v>116.3</v>
      </c>
      <c r="AG181" s="141">
        <v>116.8</v>
      </c>
      <c r="AH181" s="141">
        <v>101.6</v>
      </c>
      <c r="AI181" s="141">
        <v>104.5</v>
      </c>
      <c r="AJ181" s="141">
        <v>143.6</v>
      </c>
      <c r="AK181" s="141">
        <v>190.4</v>
      </c>
      <c r="AL181" s="141">
        <v>195.8</v>
      </c>
      <c r="AM181" s="141">
        <v>134.30000000000001</v>
      </c>
      <c r="AN181" s="141">
        <v>118.88</v>
      </c>
      <c r="AO181" s="141">
        <v>127.5</v>
      </c>
      <c r="AP181" s="142">
        <v>132.1</v>
      </c>
    </row>
    <row r="182" spans="1:42" s="121" customFormat="1" x14ac:dyDescent="0.25">
      <c r="A182" s="140" cm="1">
        <f t="array" ref="A182:AP182">INDEX(INDICES,MATCH(EDATE(A181,1),'INDICES PRIX'!A:A,0),)</f>
        <v>44774</v>
      </c>
      <c r="B182" s="150">
        <v>116.6</v>
      </c>
      <c r="C182" s="141">
        <v>123.7</v>
      </c>
      <c r="D182" s="141">
        <v>125.5</v>
      </c>
      <c r="E182" s="141">
        <v>189.1</v>
      </c>
      <c r="F182" s="141">
        <v>158.9</v>
      </c>
      <c r="G182" s="141">
        <v>115.3</v>
      </c>
      <c r="H182" s="141">
        <v>117.1</v>
      </c>
      <c r="I182" s="141">
        <v>122.9</v>
      </c>
      <c r="J182" s="141">
        <v>820.3</v>
      </c>
      <c r="K182" s="141">
        <v>165.98479757699718</v>
      </c>
      <c r="L182" s="141">
        <v>136.9</v>
      </c>
      <c r="M182" s="141">
        <v>160.6</v>
      </c>
      <c r="N182" s="141">
        <v>116.6</v>
      </c>
      <c r="O182" s="141">
        <v>241.2</v>
      </c>
      <c r="P182" s="141">
        <v>111.1</v>
      </c>
      <c r="Q182" s="141">
        <v>139.30000000000001</v>
      </c>
      <c r="R182" s="141">
        <v>133.4</v>
      </c>
      <c r="S182" s="141">
        <v>172.4</v>
      </c>
      <c r="T182" s="141">
        <v>252.7</v>
      </c>
      <c r="U182" s="141">
        <v>215.4</v>
      </c>
      <c r="V182" s="141">
        <v>123.3</v>
      </c>
      <c r="W182" s="141">
        <v>111.7</v>
      </c>
      <c r="X182" s="141">
        <v>125.8</v>
      </c>
      <c r="Y182" s="141">
        <v>133.9</v>
      </c>
      <c r="Z182" s="141">
        <v>124.5</v>
      </c>
      <c r="AA182" s="141">
        <v>117.8</v>
      </c>
      <c r="AB182" s="141">
        <v>170</v>
      </c>
      <c r="AC182" s="141">
        <v>157.4</v>
      </c>
      <c r="AD182" s="141">
        <v>122.7</v>
      </c>
      <c r="AE182" s="141">
        <v>143.1</v>
      </c>
      <c r="AF182" s="141">
        <v>118</v>
      </c>
      <c r="AG182" s="141">
        <v>118.7</v>
      </c>
      <c r="AH182" s="141">
        <v>102</v>
      </c>
      <c r="AI182" s="141">
        <v>104.6</v>
      </c>
      <c r="AJ182" s="141">
        <v>146.80000000000001</v>
      </c>
      <c r="AK182" s="141">
        <v>185.7</v>
      </c>
      <c r="AL182" s="141">
        <v>189.2</v>
      </c>
      <c r="AM182" s="141">
        <v>134.9</v>
      </c>
      <c r="AN182" s="141">
        <v>120.65</v>
      </c>
      <c r="AO182" s="141">
        <v>127.5</v>
      </c>
      <c r="AP182" s="142">
        <v>127.9</v>
      </c>
    </row>
    <row r="183" spans="1:42" s="121" customFormat="1" x14ac:dyDescent="0.25">
      <c r="A183" s="143" cm="1">
        <f t="array" ref="A183:AP183">INDEX(INDICES,MATCH(EDATE(A182,1),'INDICES PRIX'!A:A,0),)</f>
        <v>44805</v>
      </c>
      <c r="B183" s="151">
        <v>117.1</v>
      </c>
      <c r="C183" s="144">
        <v>123.7</v>
      </c>
      <c r="D183" s="144">
        <v>125.5</v>
      </c>
      <c r="E183" s="144">
        <v>175</v>
      </c>
      <c r="F183" s="144">
        <v>148.12</v>
      </c>
      <c r="G183" s="144">
        <v>112.8</v>
      </c>
      <c r="H183" s="144">
        <v>117.1</v>
      </c>
      <c r="I183" s="144">
        <v>119.8</v>
      </c>
      <c r="J183" s="144">
        <v>972.8</v>
      </c>
      <c r="K183" s="144">
        <v>145.70426693210933</v>
      </c>
      <c r="L183" s="144">
        <v>135.69999999999999</v>
      </c>
      <c r="M183" s="144">
        <v>160.6</v>
      </c>
      <c r="N183" s="144">
        <v>114.6</v>
      </c>
      <c r="O183" s="144">
        <v>229.2</v>
      </c>
      <c r="P183" s="144">
        <v>110.9</v>
      </c>
      <c r="Q183" s="144">
        <v>136.69999999999999</v>
      </c>
      <c r="R183" s="144">
        <v>133.9</v>
      </c>
      <c r="S183" s="144">
        <v>166.9</v>
      </c>
      <c r="T183" s="144">
        <v>241.5</v>
      </c>
      <c r="U183" s="144">
        <v>212.8</v>
      </c>
      <c r="V183" s="144">
        <v>119.2</v>
      </c>
      <c r="W183" s="144">
        <v>111.8</v>
      </c>
      <c r="X183" s="144">
        <v>127</v>
      </c>
      <c r="Y183" s="144">
        <v>133.19999999999999</v>
      </c>
      <c r="Z183" s="144">
        <v>125.6</v>
      </c>
      <c r="AA183" s="144">
        <v>118.4</v>
      </c>
      <c r="AB183" s="144">
        <v>164.8</v>
      </c>
      <c r="AC183" s="144">
        <v>151.19999999999999</v>
      </c>
      <c r="AD183" s="144">
        <v>120.3</v>
      </c>
      <c r="AE183" s="144">
        <v>143.1</v>
      </c>
      <c r="AF183" s="144">
        <v>117</v>
      </c>
      <c r="AG183" s="144">
        <v>116.8</v>
      </c>
      <c r="AH183" s="144">
        <v>103</v>
      </c>
      <c r="AI183" s="144">
        <v>104.8</v>
      </c>
      <c r="AJ183" s="144">
        <v>152.80000000000001</v>
      </c>
      <c r="AK183" s="144">
        <v>183.8</v>
      </c>
      <c r="AL183" s="144">
        <v>168.9</v>
      </c>
      <c r="AM183" s="144">
        <v>135.19999999999999</v>
      </c>
      <c r="AN183" s="144">
        <v>114.92</v>
      </c>
      <c r="AO183" s="144">
        <v>127.5</v>
      </c>
      <c r="AP183" s="145">
        <v>130.30000000000001</v>
      </c>
    </row>
    <row r="184" spans="1:42" s="121" customFormat="1" x14ac:dyDescent="0.25">
      <c r="A184" s="136" t="s">
        <v>222</v>
      </c>
      <c r="B184" s="121">
        <f>SUM(B181:B183)</f>
        <v>350.29999999999995</v>
      </c>
      <c r="C184" s="121">
        <f>SUM(C181:C183)</f>
        <v>371.1</v>
      </c>
      <c r="D184" s="121">
        <f t="shared" ref="D184:AP184" si="32">SUM(D181:D183)</f>
        <v>376.5</v>
      </c>
      <c r="E184" s="121">
        <f t="shared" si="32"/>
        <v>562.79999999999995</v>
      </c>
      <c r="F184" s="121">
        <f t="shared" si="32"/>
        <v>476.92</v>
      </c>
      <c r="G184" s="121">
        <f t="shared" si="32"/>
        <v>343.3</v>
      </c>
      <c r="H184" s="121">
        <f t="shared" si="32"/>
        <v>351.29999999999995</v>
      </c>
      <c r="I184" s="121">
        <f t="shared" si="32"/>
        <v>364.2</v>
      </c>
      <c r="J184" s="121">
        <f t="shared" si="32"/>
        <v>2348.3999999999996</v>
      </c>
      <c r="K184" s="121">
        <f t="shared" si="32"/>
        <v>494.4797563617625</v>
      </c>
      <c r="L184" s="121">
        <f t="shared" si="32"/>
        <v>408.5</v>
      </c>
      <c r="M184" s="121">
        <f t="shared" si="32"/>
        <v>481.79999999999995</v>
      </c>
      <c r="N184" s="121">
        <f t="shared" si="32"/>
        <v>344.5</v>
      </c>
      <c r="O184" s="121">
        <f t="shared" si="32"/>
        <v>717.3</v>
      </c>
      <c r="P184" s="121">
        <f t="shared" si="32"/>
        <v>332.70000000000005</v>
      </c>
      <c r="Q184" s="121">
        <f t="shared" si="32"/>
        <v>416.40000000000003</v>
      </c>
      <c r="R184" s="121">
        <f t="shared" si="32"/>
        <v>400.9</v>
      </c>
      <c r="S184" s="121">
        <f t="shared" si="32"/>
        <v>511.29999999999995</v>
      </c>
      <c r="T184" s="121">
        <f t="shared" si="32"/>
        <v>746.6</v>
      </c>
      <c r="U184" s="121">
        <f t="shared" si="32"/>
        <v>671.7</v>
      </c>
      <c r="V184" s="121">
        <f t="shared" si="32"/>
        <v>367.8</v>
      </c>
      <c r="W184" s="121">
        <f t="shared" si="32"/>
        <v>333.90000000000003</v>
      </c>
      <c r="X184" s="121">
        <f t="shared" si="32"/>
        <v>378.9</v>
      </c>
      <c r="Y184" s="121">
        <f t="shared" si="32"/>
        <v>399.59999999999997</v>
      </c>
      <c r="Z184" s="121">
        <f t="shared" si="32"/>
        <v>374.1</v>
      </c>
      <c r="AA184" s="121">
        <f t="shared" si="32"/>
        <v>354.6</v>
      </c>
      <c r="AB184" s="121">
        <f t="shared" si="32"/>
        <v>503.2</v>
      </c>
      <c r="AC184" s="121">
        <f t="shared" si="32"/>
        <v>463.59999999999997</v>
      </c>
      <c r="AD184" s="121">
        <f t="shared" si="32"/>
        <v>364.2</v>
      </c>
      <c r="AE184" s="121">
        <f t="shared" si="32"/>
        <v>429.29999999999995</v>
      </c>
      <c r="AF184" s="121">
        <f t="shared" si="32"/>
        <v>351.3</v>
      </c>
      <c r="AG184" s="121">
        <f t="shared" si="32"/>
        <v>352.3</v>
      </c>
      <c r="AH184" s="121">
        <f t="shared" si="32"/>
        <v>306.60000000000002</v>
      </c>
      <c r="AI184" s="121">
        <f t="shared" si="32"/>
        <v>313.89999999999998</v>
      </c>
      <c r="AJ184" s="121">
        <f t="shared" si="32"/>
        <v>443.2</v>
      </c>
      <c r="AK184" s="121">
        <f t="shared" si="32"/>
        <v>559.90000000000009</v>
      </c>
      <c r="AL184" s="121">
        <f t="shared" si="32"/>
        <v>553.9</v>
      </c>
      <c r="AM184" s="121">
        <f t="shared" si="32"/>
        <v>404.40000000000003</v>
      </c>
      <c r="AN184" s="121">
        <f t="shared" si="32"/>
        <v>354.45</v>
      </c>
      <c r="AO184" s="121">
        <f t="shared" si="32"/>
        <v>382.5</v>
      </c>
      <c r="AP184" s="121">
        <f t="shared" si="32"/>
        <v>390.3</v>
      </c>
    </row>
    <row r="185" spans="1:42" s="121" customFormat="1" x14ac:dyDescent="0.25">
      <c r="A185" s="136" t="s">
        <v>223</v>
      </c>
      <c r="B185" s="121">
        <f>SUM(B178:B180)</f>
        <v>339.90000000000003</v>
      </c>
      <c r="C185" s="121">
        <f>SUM(C178:C180)</f>
        <v>370.4</v>
      </c>
      <c r="D185" s="121">
        <f t="shared" ref="D185:AP185" si="33">SUM(D178:D180)</f>
        <v>375.5</v>
      </c>
      <c r="E185" s="121">
        <f t="shared" si="33"/>
        <v>596.9</v>
      </c>
      <c r="F185" s="121">
        <f t="shared" si="33"/>
        <v>497.07</v>
      </c>
      <c r="G185" s="121">
        <f t="shared" si="33"/>
        <v>332.1</v>
      </c>
      <c r="H185" s="121">
        <f t="shared" si="33"/>
        <v>345.29999999999995</v>
      </c>
      <c r="I185" s="121">
        <f t="shared" si="33"/>
        <v>416.59999999999997</v>
      </c>
      <c r="J185" s="121">
        <f t="shared" si="33"/>
        <v>1515.6</v>
      </c>
      <c r="K185" s="121">
        <f t="shared" si="33"/>
        <v>533.74669288136624</v>
      </c>
      <c r="L185" s="121">
        <f t="shared" si="33"/>
        <v>403.5</v>
      </c>
      <c r="M185" s="121">
        <f t="shared" si="33"/>
        <v>481.4</v>
      </c>
      <c r="N185" s="121">
        <f t="shared" si="33"/>
        <v>335.9</v>
      </c>
      <c r="O185" s="121">
        <f t="shared" si="33"/>
        <v>776.2</v>
      </c>
      <c r="P185" s="121">
        <f t="shared" si="33"/>
        <v>325.39999999999998</v>
      </c>
      <c r="Q185" s="121">
        <f t="shared" si="33"/>
        <v>412.59999999999997</v>
      </c>
      <c r="R185" s="121">
        <f t="shared" si="33"/>
        <v>382.4</v>
      </c>
      <c r="S185" s="121">
        <f t="shared" si="33"/>
        <v>515.20000000000005</v>
      </c>
      <c r="T185" s="121">
        <f t="shared" si="33"/>
        <v>763.2</v>
      </c>
      <c r="U185" s="121">
        <f t="shared" si="33"/>
        <v>764.8</v>
      </c>
      <c r="V185" s="121">
        <f t="shared" si="33"/>
        <v>360.4</v>
      </c>
      <c r="W185" s="121">
        <f t="shared" si="33"/>
        <v>326.60000000000002</v>
      </c>
      <c r="X185" s="121">
        <f t="shared" si="33"/>
        <v>360.5</v>
      </c>
      <c r="Y185" s="121">
        <f t="shared" si="33"/>
        <v>379.9</v>
      </c>
      <c r="Z185" s="121">
        <f t="shared" si="33"/>
        <v>351.6</v>
      </c>
      <c r="AA185" s="121">
        <f t="shared" si="33"/>
        <v>352.1</v>
      </c>
      <c r="AB185" s="121">
        <f t="shared" si="33"/>
        <v>526.20000000000005</v>
      </c>
      <c r="AC185" s="121">
        <f t="shared" si="33"/>
        <v>425.79999999999995</v>
      </c>
      <c r="AD185" s="121">
        <f t="shared" si="33"/>
        <v>343.79999999999995</v>
      </c>
      <c r="AE185" s="121">
        <f t="shared" si="33"/>
        <v>423.79999999999995</v>
      </c>
      <c r="AF185" s="121">
        <f t="shared" si="33"/>
        <v>343.9</v>
      </c>
      <c r="AG185" s="121">
        <f t="shared" si="33"/>
        <v>345.4</v>
      </c>
      <c r="AH185" s="121">
        <f t="shared" si="33"/>
        <v>301.89999999999998</v>
      </c>
      <c r="AI185" s="121">
        <f t="shared" si="33"/>
        <v>310.89999999999998</v>
      </c>
      <c r="AJ185" s="121">
        <f t="shared" si="33"/>
        <v>395.9</v>
      </c>
      <c r="AK185" s="121">
        <f t="shared" si="33"/>
        <v>589.6</v>
      </c>
      <c r="AL185" s="121">
        <f t="shared" si="33"/>
        <v>554.40000000000009</v>
      </c>
      <c r="AM185" s="121">
        <f t="shared" si="33"/>
        <v>399.4</v>
      </c>
      <c r="AN185" s="121">
        <f t="shared" si="33"/>
        <v>337.93</v>
      </c>
      <c r="AO185" s="121">
        <f t="shared" si="33"/>
        <v>380.40000000000003</v>
      </c>
      <c r="AP185" s="121">
        <f t="shared" si="33"/>
        <v>422.9</v>
      </c>
    </row>
    <row r="186" spans="1:42" s="121" customFormat="1" x14ac:dyDescent="0.25">
      <c r="A186" s="136"/>
    </row>
    <row r="187" spans="1:42" s="121" customFormat="1" x14ac:dyDescent="0.25">
      <c r="A187" s="136"/>
      <c r="B187" s="251" t="s">
        <v>49</v>
      </c>
      <c r="C187" s="251"/>
      <c r="D187" s="251"/>
    </row>
    <row r="188" spans="1:42" s="121" customFormat="1" x14ac:dyDescent="0.25">
      <c r="A188" s="138" cm="1">
        <f t="array" ref="A188:AP188">INDEX(INDICES,MATCH(EDATE(DATE4,-11),'INDICES PRIX'!A:A,0),)</f>
        <v>44470</v>
      </c>
      <c r="B188" s="55">
        <v>109</v>
      </c>
      <c r="C188" s="55">
        <v>122.6</v>
      </c>
      <c r="D188" s="55">
        <v>123.1</v>
      </c>
      <c r="E188" s="55">
        <v>145.0804149457305</v>
      </c>
      <c r="F188" s="55">
        <v>132.38</v>
      </c>
      <c r="G188" s="55">
        <v>105.8</v>
      </c>
      <c r="H188" s="55">
        <v>110.5</v>
      </c>
      <c r="I188" s="55">
        <v>113.2</v>
      </c>
      <c r="J188" s="55">
        <v>354.2</v>
      </c>
      <c r="K188" s="55">
        <v>119.53812774342542</v>
      </c>
      <c r="L188" s="55">
        <v>123.8</v>
      </c>
      <c r="M188" s="55">
        <v>145.30000000000001</v>
      </c>
      <c r="N188" s="55">
        <v>106.4</v>
      </c>
      <c r="O188" s="55">
        <v>193</v>
      </c>
      <c r="P188" s="55">
        <v>103.5</v>
      </c>
      <c r="Q188" s="55">
        <v>121.2</v>
      </c>
      <c r="R188" s="55">
        <v>106.6</v>
      </c>
      <c r="S188" s="55">
        <v>136.80000000000001</v>
      </c>
      <c r="T188" s="55">
        <v>191.5</v>
      </c>
      <c r="U188" s="55">
        <v>175.9</v>
      </c>
      <c r="V188" s="55">
        <v>111.4</v>
      </c>
      <c r="W188" s="55">
        <v>103</v>
      </c>
      <c r="X188" s="55">
        <v>105.6</v>
      </c>
      <c r="Y188" s="55">
        <v>105.6</v>
      </c>
      <c r="Z188" s="55">
        <v>112.60080645161291</v>
      </c>
      <c r="AA188" s="55">
        <v>111.6</v>
      </c>
      <c r="AB188" s="55">
        <v>139.4</v>
      </c>
      <c r="AC188" s="55">
        <v>120.6</v>
      </c>
      <c r="AD188" s="55">
        <v>106.2</v>
      </c>
      <c r="AE188" s="55">
        <v>125</v>
      </c>
      <c r="AF188" s="55">
        <v>106.9</v>
      </c>
      <c r="AG188" s="55">
        <v>107.3</v>
      </c>
      <c r="AH188" s="55">
        <v>97</v>
      </c>
      <c r="AI188" s="55">
        <v>102.4</v>
      </c>
      <c r="AJ188" s="55">
        <v>121</v>
      </c>
      <c r="AK188" s="55">
        <v>150.69999999999999</v>
      </c>
      <c r="AL188" s="55">
        <v>186.8</v>
      </c>
      <c r="AM188" s="55">
        <v>122.2</v>
      </c>
      <c r="AN188" s="55">
        <v>109.17</v>
      </c>
      <c r="AO188" s="55">
        <v>118.3</v>
      </c>
      <c r="AP188" s="8">
        <v>115.5</v>
      </c>
    </row>
    <row r="189" spans="1:42" s="121" customFormat="1" x14ac:dyDescent="0.25">
      <c r="A189" s="140" cm="1">
        <f t="array" ref="A189:AP189">INDEX(INDICES,MATCH(EDATE(A188,1),'INDICES PRIX'!A:A,0),)</f>
        <v>44501</v>
      </c>
      <c r="B189" s="141">
        <v>109.1</v>
      </c>
      <c r="C189" s="141">
        <v>122.5</v>
      </c>
      <c r="D189" s="141">
        <v>123.1</v>
      </c>
      <c r="E189" s="141">
        <v>146.98121217942563</v>
      </c>
      <c r="F189" s="141">
        <v>133.69999999999999</v>
      </c>
      <c r="G189" s="141">
        <v>106.2</v>
      </c>
      <c r="H189" s="141">
        <v>110.5</v>
      </c>
      <c r="I189" s="141">
        <v>121</v>
      </c>
      <c r="J189" s="141">
        <v>440.2</v>
      </c>
      <c r="K189" s="141">
        <v>121.63000065959393</v>
      </c>
      <c r="L189" s="141">
        <v>124.5</v>
      </c>
      <c r="M189" s="141">
        <v>145.80000000000001</v>
      </c>
      <c r="N189" s="141">
        <v>107</v>
      </c>
      <c r="O189" s="141">
        <v>193.5</v>
      </c>
      <c r="P189" s="141">
        <v>103.7</v>
      </c>
      <c r="Q189" s="141">
        <v>124</v>
      </c>
      <c r="R189" s="141">
        <v>107.1</v>
      </c>
      <c r="S189" s="141">
        <v>136.80000000000001</v>
      </c>
      <c r="T189" s="141">
        <v>192.3</v>
      </c>
      <c r="U189" s="141">
        <v>187.9</v>
      </c>
      <c r="V189" s="141">
        <v>112.5</v>
      </c>
      <c r="W189" s="141">
        <v>102.8</v>
      </c>
      <c r="X189" s="141">
        <v>107.1</v>
      </c>
      <c r="Y189" s="141">
        <v>105.6</v>
      </c>
      <c r="Z189" s="141">
        <v>113.30645161290323</v>
      </c>
      <c r="AA189" s="141">
        <v>111.6</v>
      </c>
      <c r="AB189" s="141">
        <v>146.69999999999999</v>
      </c>
      <c r="AC189" s="141">
        <v>119.6</v>
      </c>
      <c r="AD189" s="141">
        <v>106.8</v>
      </c>
      <c r="AE189" s="141">
        <v>125.2</v>
      </c>
      <c r="AF189" s="141">
        <v>107.2</v>
      </c>
      <c r="AG189" s="141">
        <v>107.7</v>
      </c>
      <c r="AH189" s="141">
        <v>97.1</v>
      </c>
      <c r="AI189" s="141">
        <v>102.5</v>
      </c>
      <c r="AJ189" s="141">
        <v>125.6</v>
      </c>
      <c r="AK189" s="141">
        <v>150.5</v>
      </c>
      <c r="AL189" s="141">
        <v>184</v>
      </c>
      <c r="AM189" s="141">
        <v>122.8</v>
      </c>
      <c r="AN189" s="141">
        <v>109.06</v>
      </c>
      <c r="AO189" s="141">
        <v>118.3</v>
      </c>
      <c r="AP189" s="142">
        <v>117</v>
      </c>
    </row>
    <row r="190" spans="1:42" s="121" customFormat="1" x14ac:dyDescent="0.25">
      <c r="A190" s="140" cm="1">
        <f t="array" ref="A190:AP190">INDEX(INDICES,MATCH(EDATE(A189,1),'INDICES PRIX'!A:A,0),)</f>
        <v>44531</v>
      </c>
      <c r="B190" s="141">
        <v>109.4</v>
      </c>
      <c r="C190" s="141">
        <v>122.4</v>
      </c>
      <c r="D190" s="141">
        <v>123.2</v>
      </c>
      <c r="E190" s="141">
        <v>143.4</v>
      </c>
      <c r="F190" s="141">
        <v>131.08000000000001</v>
      </c>
      <c r="G190" s="141">
        <v>106.7</v>
      </c>
      <c r="H190" s="141">
        <v>111.4</v>
      </c>
      <c r="I190" s="141">
        <v>141.4</v>
      </c>
      <c r="J190" s="141">
        <v>453.8</v>
      </c>
      <c r="K190" s="141">
        <v>117.58807671987852</v>
      </c>
      <c r="L190" s="141">
        <v>124.2</v>
      </c>
      <c r="M190" s="141">
        <v>145.80000000000001</v>
      </c>
      <c r="N190" s="141">
        <v>106.9</v>
      </c>
      <c r="O190" s="141">
        <v>192.6</v>
      </c>
      <c r="P190" s="141">
        <v>103</v>
      </c>
      <c r="Q190" s="141">
        <v>122.8</v>
      </c>
      <c r="R190" s="141">
        <v>108.6</v>
      </c>
      <c r="S190" s="141">
        <v>137</v>
      </c>
      <c r="T190" s="141">
        <v>191.7</v>
      </c>
      <c r="U190" s="141">
        <v>183.9</v>
      </c>
      <c r="V190" s="141">
        <v>113.7</v>
      </c>
      <c r="W190" s="141">
        <v>100</v>
      </c>
      <c r="X190" s="141">
        <v>104.5</v>
      </c>
      <c r="Y190" s="141">
        <v>105</v>
      </c>
      <c r="Z190" s="141">
        <v>113.10483870967742</v>
      </c>
      <c r="AA190" s="141">
        <v>112.3</v>
      </c>
      <c r="AB190" s="141">
        <v>146.80000000000001</v>
      </c>
      <c r="AC190" s="141">
        <v>121.7</v>
      </c>
      <c r="AD190" s="141">
        <v>107.1</v>
      </c>
      <c r="AE190" s="141">
        <v>127.7</v>
      </c>
      <c r="AF190" s="141">
        <v>107.6</v>
      </c>
      <c r="AG190" s="141">
        <v>107.7</v>
      </c>
      <c r="AH190" s="141">
        <v>96.9</v>
      </c>
      <c r="AI190" s="141">
        <v>102.9</v>
      </c>
      <c r="AJ190" s="141">
        <v>120.5</v>
      </c>
      <c r="AK190" s="141">
        <v>150.5</v>
      </c>
      <c r="AL190" s="141">
        <v>180.3</v>
      </c>
      <c r="AM190" s="141">
        <v>123.9</v>
      </c>
      <c r="AN190" s="141">
        <v>109.24</v>
      </c>
      <c r="AO190" s="141">
        <v>118.7</v>
      </c>
      <c r="AP190" s="142">
        <v>119</v>
      </c>
    </row>
    <row r="191" spans="1:42" s="121" customFormat="1" x14ac:dyDescent="0.25">
      <c r="A191" s="140" cm="1">
        <f t="array" ref="A191:AP191">INDEX(INDICES,MATCH(EDATE(A190,1),'INDICES PRIX'!A:A,0),)</f>
        <v>44562</v>
      </c>
      <c r="B191" s="141">
        <v>110.8</v>
      </c>
      <c r="C191" s="141">
        <v>122.6</v>
      </c>
      <c r="D191" s="141">
        <v>123.6</v>
      </c>
      <c r="E191" s="141">
        <v>156.1</v>
      </c>
      <c r="F191" s="141">
        <v>138.13999999999999</v>
      </c>
      <c r="G191" s="141">
        <v>106.8</v>
      </c>
      <c r="H191" s="141">
        <v>111.4</v>
      </c>
      <c r="I191" s="141">
        <v>153.9</v>
      </c>
      <c r="J191" s="141">
        <v>525.1</v>
      </c>
      <c r="K191" s="141">
        <v>133.34803453745306</v>
      </c>
      <c r="L191" s="141">
        <v>126.1</v>
      </c>
      <c r="M191" s="141">
        <v>152.6</v>
      </c>
      <c r="N191" s="141">
        <v>109.8</v>
      </c>
      <c r="O191" s="141">
        <v>193.7</v>
      </c>
      <c r="P191" s="141">
        <v>105.7</v>
      </c>
      <c r="Q191" s="141">
        <v>124.9</v>
      </c>
      <c r="R191" s="141">
        <v>123</v>
      </c>
      <c r="S191" s="141">
        <v>151.1</v>
      </c>
      <c r="T191" s="141">
        <v>192.2</v>
      </c>
      <c r="U191" s="141">
        <v>182.4</v>
      </c>
      <c r="V191" s="141">
        <v>114.2</v>
      </c>
      <c r="W191" s="141">
        <v>104.6</v>
      </c>
      <c r="X191" s="141">
        <v>110.6</v>
      </c>
      <c r="Y191" s="141">
        <v>111.2</v>
      </c>
      <c r="Z191" s="141">
        <v>114.51612903225806</v>
      </c>
      <c r="AA191" s="141">
        <v>113.8</v>
      </c>
      <c r="AB191" s="141">
        <v>154.80000000000001</v>
      </c>
      <c r="AC191" s="141">
        <v>131.4</v>
      </c>
      <c r="AD191" s="141">
        <v>109.5</v>
      </c>
      <c r="AE191" s="141">
        <v>131.6</v>
      </c>
      <c r="AF191" s="141">
        <v>110.3</v>
      </c>
      <c r="AG191" s="141">
        <v>111.4</v>
      </c>
      <c r="AH191" s="141">
        <v>98</v>
      </c>
      <c r="AI191" s="141">
        <v>102.9</v>
      </c>
      <c r="AJ191" s="141">
        <v>124.1</v>
      </c>
      <c r="AK191" s="141">
        <v>173.6</v>
      </c>
      <c r="AL191" s="141">
        <v>176.4</v>
      </c>
      <c r="AM191" s="141">
        <v>126.2</v>
      </c>
      <c r="AN191" s="141">
        <v>110.08</v>
      </c>
      <c r="AO191" s="141">
        <v>124.9</v>
      </c>
      <c r="AP191" s="142">
        <v>130.19999999999999</v>
      </c>
    </row>
    <row r="192" spans="1:42" s="121" customFormat="1" x14ac:dyDescent="0.25">
      <c r="A192" s="140" cm="1">
        <f t="array" ref="A192:AP192">INDEX(INDICES,MATCH(EDATE(A191,1),'INDICES PRIX'!A:A,0),)</f>
        <v>44593</v>
      </c>
      <c r="B192" s="141">
        <v>111.3</v>
      </c>
      <c r="C192" s="141">
        <v>122.8</v>
      </c>
      <c r="D192" s="141">
        <v>124</v>
      </c>
      <c r="E192" s="141">
        <v>167.4</v>
      </c>
      <c r="F192" s="141">
        <v>145.84</v>
      </c>
      <c r="G192" s="141">
        <v>106.8</v>
      </c>
      <c r="H192" s="141">
        <v>111.4</v>
      </c>
      <c r="I192" s="141">
        <v>159</v>
      </c>
      <c r="J192" s="141">
        <v>410.7</v>
      </c>
      <c r="K192" s="141">
        <v>144.33923121562654</v>
      </c>
      <c r="L192" s="141">
        <v>127.4</v>
      </c>
      <c r="M192" s="141">
        <v>152.5</v>
      </c>
      <c r="N192" s="141">
        <v>109.6</v>
      </c>
      <c r="O192" s="141">
        <v>196.9</v>
      </c>
      <c r="P192" s="141">
        <v>105.7</v>
      </c>
      <c r="Q192" s="141">
        <v>127.6</v>
      </c>
      <c r="R192" s="141">
        <v>122</v>
      </c>
      <c r="S192" s="141">
        <v>155</v>
      </c>
      <c r="T192" s="141">
        <v>199</v>
      </c>
      <c r="U192" s="141">
        <v>198</v>
      </c>
      <c r="V192" s="141">
        <v>118.2</v>
      </c>
      <c r="W192" s="141">
        <v>105.1</v>
      </c>
      <c r="X192" s="141">
        <v>109.4</v>
      </c>
      <c r="Y192" s="141">
        <v>116</v>
      </c>
      <c r="Z192" s="141">
        <v>114.21370967741936</v>
      </c>
      <c r="AA192" s="141">
        <v>113.9</v>
      </c>
      <c r="AB192" s="141">
        <v>156.80000000000001</v>
      </c>
      <c r="AC192" s="141">
        <v>132.5</v>
      </c>
      <c r="AD192" s="141">
        <v>112.5</v>
      </c>
      <c r="AE192" s="141">
        <v>134.4</v>
      </c>
      <c r="AF192" s="141">
        <v>112.1</v>
      </c>
      <c r="AG192" s="141">
        <v>113</v>
      </c>
      <c r="AH192" s="141">
        <v>99</v>
      </c>
      <c r="AI192" s="141">
        <v>102.6</v>
      </c>
      <c r="AJ192" s="141">
        <v>138.5</v>
      </c>
      <c r="AK192" s="141">
        <v>174.5</v>
      </c>
      <c r="AL192" s="141">
        <v>175.6</v>
      </c>
      <c r="AM192" s="141">
        <v>127.1</v>
      </c>
      <c r="AN192" s="141">
        <v>110.46</v>
      </c>
      <c r="AO192" s="141">
        <v>126.3</v>
      </c>
      <c r="AP192" s="142">
        <v>133</v>
      </c>
    </row>
    <row r="193" spans="1:42" s="121" customFormat="1" x14ac:dyDescent="0.25">
      <c r="A193" s="140" cm="1">
        <f t="array" ref="A193:AP193">INDEX(INDICES,MATCH(EDATE(A192,1),'INDICES PRIX'!A:A,0),)</f>
        <v>44621</v>
      </c>
      <c r="B193" s="141">
        <v>111.1</v>
      </c>
      <c r="C193" s="141">
        <v>123</v>
      </c>
      <c r="D193" s="141">
        <v>124.5</v>
      </c>
      <c r="E193" s="141">
        <v>224.4</v>
      </c>
      <c r="F193" s="141">
        <v>171.16</v>
      </c>
      <c r="G193" s="141">
        <v>106.8</v>
      </c>
      <c r="H193" s="141">
        <v>111.4</v>
      </c>
      <c r="I193" s="141">
        <v>173</v>
      </c>
      <c r="J193" s="141">
        <v>466.9</v>
      </c>
      <c r="K193" s="141">
        <v>191.7609265609718</v>
      </c>
      <c r="L193" s="141">
        <v>127.2</v>
      </c>
      <c r="M193" s="141">
        <v>152.5</v>
      </c>
      <c r="N193" s="141">
        <v>109.3</v>
      </c>
      <c r="O193" s="141">
        <v>213.4</v>
      </c>
      <c r="P193" s="141">
        <v>106.1</v>
      </c>
      <c r="Q193" s="141">
        <v>129.5</v>
      </c>
      <c r="R193" s="141">
        <v>121.8</v>
      </c>
      <c r="S193" s="141">
        <v>167.8</v>
      </c>
      <c r="T193" s="141">
        <v>208.8</v>
      </c>
      <c r="U193" s="141">
        <v>224.3</v>
      </c>
      <c r="V193" s="141">
        <v>117.3</v>
      </c>
      <c r="W193" s="141">
        <v>106.4</v>
      </c>
      <c r="X193" s="141">
        <v>110.8</v>
      </c>
      <c r="Y193" s="141">
        <v>118.7</v>
      </c>
      <c r="Z193" s="141">
        <v>113.10483870967742</v>
      </c>
      <c r="AA193" s="141">
        <v>115.4</v>
      </c>
      <c r="AB193" s="141">
        <v>160</v>
      </c>
      <c r="AC193" s="141">
        <v>135.6</v>
      </c>
      <c r="AD193" s="141">
        <v>112.4</v>
      </c>
      <c r="AE193" s="141">
        <v>134.6</v>
      </c>
      <c r="AF193" s="141">
        <v>112.5</v>
      </c>
      <c r="AG193" s="141">
        <v>113.3</v>
      </c>
      <c r="AH193" s="141">
        <v>99.2</v>
      </c>
      <c r="AI193" s="141">
        <v>102.9</v>
      </c>
      <c r="AJ193" s="141">
        <v>126.4</v>
      </c>
      <c r="AK193" s="141">
        <v>180</v>
      </c>
      <c r="AL193" s="141">
        <v>178.1</v>
      </c>
      <c r="AM193" s="141">
        <v>129.6</v>
      </c>
      <c r="AN193" s="141">
        <v>111.45</v>
      </c>
      <c r="AO193" s="141">
        <v>126.9</v>
      </c>
      <c r="AP193" s="142">
        <v>142</v>
      </c>
    </row>
    <row r="194" spans="1:42" s="121" customFormat="1" x14ac:dyDescent="0.25">
      <c r="A194" s="140" cm="1">
        <f t="array" ref="A194:AP194">INDEX(INDICES,MATCH(EDATE(A193,1),'INDICES PRIX'!A:A,0),)</f>
        <v>44652</v>
      </c>
      <c r="B194" s="141">
        <v>113.4</v>
      </c>
      <c r="C194" s="141">
        <v>123.2</v>
      </c>
      <c r="D194" s="141">
        <v>124.8</v>
      </c>
      <c r="E194" s="141">
        <v>188.1</v>
      </c>
      <c r="F194" s="141">
        <v>158.51</v>
      </c>
      <c r="G194" s="141">
        <v>109.9</v>
      </c>
      <c r="H194" s="141">
        <v>115.1</v>
      </c>
      <c r="I194" s="141">
        <v>159.19999999999999</v>
      </c>
      <c r="J194" s="141">
        <v>582.29999999999995</v>
      </c>
      <c r="K194" s="141">
        <v>166.232985889085</v>
      </c>
      <c r="L194" s="141">
        <v>130.19999999999999</v>
      </c>
      <c r="M194" s="141">
        <v>160.30000000000001</v>
      </c>
      <c r="N194" s="141">
        <v>111.3</v>
      </c>
      <c r="O194" s="141">
        <v>249.2</v>
      </c>
      <c r="P194" s="141">
        <v>107.5</v>
      </c>
      <c r="Q194" s="141">
        <v>133.69999999999999</v>
      </c>
      <c r="R194" s="141">
        <v>123.5</v>
      </c>
      <c r="S194" s="141">
        <v>167.9</v>
      </c>
      <c r="T194" s="141">
        <v>244.4</v>
      </c>
      <c r="U194" s="141">
        <v>256</v>
      </c>
      <c r="V194" s="141">
        <v>118.1</v>
      </c>
      <c r="W194" s="141">
        <v>106.9</v>
      </c>
      <c r="X194" s="141">
        <v>115.6</v>
      </c>
      <c r="Y194" s="141">
        <v>123.6</v>
      </c>
      <c r="Z194" s="141">
        <v>112.5</v>
      </c>
      <c r="AA194" s="141">
        <v>116.8</v>
      </c>
      <c r="AB194" s="141">
        <v>171.9</v>
      </c>
      <c r="AC194" s="141">
        <v>138.69999999999999</v>
      </c>
      <c r="AD194" s="141">
        <v>112.5</v>
      </c>
      <c r="AE194" s="141">
        <v>139.1</v>
      </c>
      <c r="AF194" s="141">
        <v>113.7</v>
      </c>
      <c r="AG194" s="141">
        <v>114.8</v>
      </c>
      <c r="AH194" s="141">
        <v>99.1</v>
      </c>
      <c r="AI194" s="141">
        <v>103.5</v>
      </c>
      <c r="AJ194" s="141">
        <v>125</v>
      </c>
      <c r="AK194" s="141">
        <v>194.1</v>
      </c>
      <c r="AL194" s="141">
        <v>181.2</v>
      </c>
      <c r="AM194" s="141">
        <v>131.6</v>
      </c>
      <c r="AN194" s="141">
        <v>110.96</v>
      </c>
      <c r="AO194" s="141">
        <v>126.7</v>
      </c>
      <c r="AP194" s="142">
        <v>144.5</v>
      </c>
    </row>
    <row r="195" spans="1:42" s="121" customFormat="1" x14ac:dyDescent="0.25">
      <c r="A195" s="140" cm="1">
        <f t="array" ref="A195:AP195">INDEX(INDICES,MATCH(EDATE(A194,1),'INDICES PRIX'!A:A,0),)</f>
        <v>44682</v>
      </c>
      <c r="B195" s="141">
        <v>113.2</v>
      </c>
      <c r="C195" s="141">
        <v>123.5</v>
      </c>
      <c r="D195" s="141">
        <v>125.2</v>
      </c>
      <c r="E195" s="141">
        <v>188.8</v>
      </c>
      <c r="F195" s="141">
        <v>161.19</v>
      </c>
      <c r="G195" s="141">
        <v>110.4</v>
      </c>
      <c r="H195" s="141">
        <v>115.1</v>
      </c>
      <c r="I195" s="141">
        <v>137.69999999999999</v>
      </c>
      <c r="J195" s="141">
        <v>463.2</v>
      </c>
      <c r="K195" s="141">
        <v>169.10487921467225</v>
      </c>
      <c r="L195" s="141">
        <v>135.69999999999999</v>
      </c>
      <c r="M195" s="141">
        <v>160.5</v>
      </c>
      <c r="N195" s="141">
        <v>112.6</v>
      </c>
      <c r="O195" s="141">
        <v>270.7</v>
      </c>
      <c r="P195" s="141">
        <v>108.3</v>
      </c>
      <c r="Q195" s="141">
        <v>138.19999999999999</v>
      </c>
      <c r="R195" s="141">
        <v>126.5</v>
      </c>
      <c r="S195" s="141">
        <v>171.6</v>
      </c>
      <c r="T195" s="141">
        <v>265.3</v>
      </c>
      <c r="U195" s="141">
        <v>248.1</v>
      </c>
      <c r="V195" s="141">
        <v>118.9</v>
      </c>
      <c r="W195" s="141">
        <v>109.1</v>
      </c>
      <c r="X195" s="141">
        <v>121</v>
      </c>
      <c r="Y195" s="141">
        <v>127.6</v>
      </c>
      <c r="Z195" s="141">
        <v>117.6</v>
      </c>
      <c r="AA195" s="141">
        <v>116.9</v>
      </c>
      <c r="AB195" s="141">
        <v>178.4</v>
      </c>
      <c r="AC195" s="141">
        <v>139.6</v>
      </c>
      <c r="AD195" s="141">
        <v>114.2</v>
      </c>
      <c r="AE195" s="141">
        <v>141.6</v>
      </c>
      <c r="AF195" s="141">
        <v>114.7</v>
      </c>
      <c r="AG195" s="141">
        <v>115</v>
      </c>
      <c r="AH195" s="141">
        <v>100.9</v>
      </c>
      <c r="AI195" s="141">
        <v>103.8</v>
      </c>
      <c r="AJ195" s="141">
        <v>132.5</v>
      </c>
      <c r="AK195" s="141">
        <v>197.9</v>
      </c>
      <c r="AL195" s="141">
        <v>188.4</v>
      </c>
      <c r="AM195" s="141">
        <v>134.19999999999999</v>
      </c>
      <c r="AN195" s="141">
        <v>112.72</v>
      </c>
      <c r="AO195" s="141">
        <v>126.9</v>
      </c>
      <c r="AP195" s="142">
        <v>141.69999999999999</v>
      </c>
    </row>
    <row r="196" spans="1:42" s="121" customFormat="1" x14ac:dyDescent="0.25">
      <c r="A196" s="140" cm="1">
        <f t="array" ref="A196:AP196">INDEX(INDICES,MATCH(EDATE(A195,1),'INDICES PRIX'!A:A,0),)</f>
        <v>44713</v>
      </c>
      <c r="B196" s="141">
        <v>113.3</v>
      </c>
      <c r="C196" s="141">
        <v>123.7</v>
      </c>
      <c r="D196" s="141">
        <v>125.5</v>
      </c>
      <c r="E196" s="141">
        <v>220</v>
      </c>
      <c r="F196" s="141">
        <v>177.37</v>
      </c>
      <c r="G196" s="141">
        <v>111.8</v>
      </c>
      <c r="H196" s="141">
        <v>115.1</v>
      </c>
      <c r="I196" s="141">
        <v>119.7</v>
      </c>
      <c r="J196" s="141">
        <v>470.1</v>
      </c>
      <c r="K196" s="141">
        <v>198.40882777760893</v>
      </c>
      <c r="L196" s="141">
        <v>137.6</v>
      </c>
      <c r="M196" s="141">
        <v>160.6</v>
      </c>
      <c r="N196" s="141">
        <v>112</v>
      </c>
      <c r="O196" s="141">
        <v>256.3</v>
      </c>
      <c r="P196" s="141">
        <v>109.6</v>
      </c>
      <c r="Q196" s="141">
        <v>140.69999999999999</v>
      </c>
      <c r="R196" s="141">
        <v>132.4</v>
      </c>
      <c r="S196" s="141">
        <v>175.7</v>
      </c>
      <c r="T196" s="141">
        <v>253.5</v>
      </c>
      <c r="U196" s="141">
        <v>260.7</v>
      </c>
      <c r="V196" s="141">
        <v>123.4</v>
      </c>
      <c r="W196" s="141">
        <v>110.6</v>
      </c>
      <c r="X196" s="141">
        <v>123.9</v>
      </c>
      <c r="Y196" s="141">
        <v>128.69999999999999</v>
      </c>
      <c r="Z196" s="141">
        <v>121.5</v>
      </c>
      <c r="AA196" s="141">
        <v>118.4</v>
      </c>
      <c r="AB196" s="141">
        <v>175.9</v>
      </c>
      <c r="AC196" s="141">
        <v>147.5</v>
      </c>
      <c r="AD196" s="141">
        <v>117.1</v>
      </c>
      <c r="AE196" s="141">
        <v>143.1</v>
      </c>
      <c r="AF196" s="141">
        <v>115.5</v>
      </c>
      <c r="AG196" s="141">
        <v>115.6</v>
      </c>
      <c r="AH196" s="141">
        <v>101.9</v>
      </c>
      <c r="AI196" s="141">
        <v>103.6</v>
      </c>
      <c r="AJ196" s="141">
        <v>138.4</v>
      </c>
      <c r="AK196" s="141">
        <v>197.6</v>
      </c>
      <c r="AL196" s="141">
        <v>184.8</v>
      </c>
      <c r="AM196" s="141">
        <v>133.6</v>
      </c>
      <c r="AN196" s="141">
        <v>114.25</v>
      </c>
      <c r="AO196" s="141">
        <v>126.8</v>
      </c>
      <c r="AP196" s="142">
        <v>136.69999999999999</v>
      </c>
    </row>
    <row r="197" spans="1:42" s="121" customFormat="1" x14ac:dyDescent="0.25">
      <c r="A197" s="140" cm="1">
        <f t="array" ref="A197:AP197">INDEX(INDICES,MATCH(EDATE(A196,1),'INDICES PRIX'!A:A,0),)</f>
        <v>44743</v>
      </c>
      <c r="B197" s="141">
        <v>116.6</v>
      </c>
      <c r="C197" s="141">
        <v>123.7</v>
      </c>
      <c r="D197" s="141">
        <v>125.5</v>
      </c>
      <c r="E197" s="141">
        <v>198.7</v>
      </c>
      <c r="F197" s="141">
        <v>169.9</v>
      </c>
      <c r="G197" s="141">
        <v>115.2</v>
      </c>
      <c r="H197" s="141">
        <v>117.1</v>
      </c>
      <c r="I197" s="141">
        <v>121.5</v>
      </c>
      <c r="J197" s="141">
        <v>555.29999999999995</v>
      </c>
      <c r="K197" s="141">
        <v>182.79069185265595</v>
      </c>
      <c r="L197" s="141">
        <v>135.9</v>
      </c>
      <c r="M197" s="141">
        <v>160.6</v>
      </c>
      <c r="N197" s="141">
        <v>113.3</v>
      </c>
      <c r="O197" s="141">
        <v>246.9</v>
      </c>
      <c r="P197" s="141">
        <v>110.7</v>
      </c>
      <c r="Q197" s="141">
        <v>140.4</v>
      </c>
      <c r="R197" s="141">
        <v>133.6</v>
      </c>
      <c r="S197" s="141">
        <v>172</v>
      </c>
      <c r="T197" s="141">
        <v>252.4</v>
      </c>
      <c r="U197" s="141">
        <v>243.5</v>
      </c>
      <c r="V197" s="141">
        <v>125.3</v>
      </c>
      <c r="W197" s="141">
        <v>110.4</v>
      </c>
      <c r="X197" s="141">
        <v>126.1</v>
      </c>
      <c r="Y197" s="141">
        <v>132.5</v>
      </c>
      <c r="Z197" s="141">
        <v>124</v>
      </c>
      <c r="AA197" s="141">
        <v>118.4</v>
      </c>
      <c r="AB197" s="141">
        <v>168.4</v>
      </c>
      <c r="AC197" s="141">
        <v>155</v>
      </c>
      <c r="AD197" s="141">
        <v>121.2</v>
      </c>
      <c r="AE197" s="141">
        <v>143.1</v>
      </c>
      <c r="AF197" s="141">
        <v>116.3</v>
      </c>
      <c r="AG197" s="141">
        <v>116.8</v>
      </c>
      <c r="AH197" s="141">
        <v>101.6</v>
      </c>
      <c r="AI197" s="141">
        <v>104.5</v>
      </c>
      <c r="AJ197" s="141">
        <v>143.6</v>
      </c>
      <c r="AK197" s="141">
        <v>190.4</v>
      </c>
      <c r="AL197" s="141">
        <v>195.8</v>
      </c>
      <c r="AM197" s="141">
        <v>134.30000000000001</v>
      </c>
      <c r="AN197" s="141">
        <v>118.88</v>
      </c>
      <c r="AO197" s="141">
        <v>127.5</v>
      </c>
      <c r="AP197" s="142">
        <v>132.1</v>
      </c>
    </row>
    <row r="198" spans="1:42" s="121" customFormat="1" x14ac:dyDescent="0.25">
      <c r="A198" s="140" cm="1">
        <f t="array" ref="A198:AP198">INDEX(INDICES,MATCH(EDATE(A197,1),'INDICES PRIX'!A:A,0),)</f>
        <v>44774</v>
      </c>
      <c r="B198" s="141">
        <v>116.6</v>
      </c>
      <c r="C198" s="141">
        <v>123.7</v>
      </c>
      <c r="D198" s="141">
        <v>125.5</v>
      </c>
      <c r="E198" s="141">
        <v>189.1</v>
      </c>
      <c r="F198" s="141">
        <v>158.9</v>
      </c>
      <c r="G198" s="141">
        <v>115.3</v>
      </c>
      <c r="H198" s="141">
        <v>117.1</v>
      </c>
      <c r="I198" s="141">
        <v>122.9</v>
      </c>
      <c r="J198" s="141">
        <v>820.3</v>
      </c>
      <c r="K198" s="141">
        <v>165.98479757699718</v>
      </c>
      <c r="L198" s="141">
        <v>136.9</v>
      </c>
      <c r="M198" s="141">
        <v>160.6</v>
      </c>
      <c r="N198" s="141">
        <v>116.6</v>
      </c>
      <c r="O198" s="141">
        <v>241.2</v>
      </c>
      <c r="P198" s="141">
        <v>111.1</v>
      </c>
      <c r="Q198" s="141">
        <v>139.30000000000001</v>
      </c>
      <c r="R198" s="141">
        <v>133.4</v>
      </c>
      <c r="S198" s="141">
        <v>172.4</v>
      </c>
      <c r="T198" s="141">
        <v>252.7</v>
      </c>
      <c r="U198" s="141">
        <v>215.4</v>
      </c>
      <c r="V198" s="141">
        <v>123.3</v>
      </c>
      <c r="W198" s="141">
        <v>111.7</v>
      </c>
      <c r="X198" s="141">
        <v>125.8</v>
      </c>
      <c r="Y198" s="141">
        <v>133.9</v>
      </c>
      <c r="Z198" s="141">
        <v>124.5</v>
      </c>
      <c r="AA198" s="141">
        <v>117.8</v>
      </c>
      <c r="AB198" s="141">
        <v>170</v>
      </c>
      <c r="AC198" s="141">
        <v>157.4</v>
      </c>
      <c r="AD198" s="141">
        <v>122.7</v>
      </c>
      <c r="AE198" s="141">
        <v>143.1</v>
      </c>
      <c r="AF198" s="141">
        <v>118</v>
      </c>
      <c r="AG198" s="141">
        <v>118.7</v>
      </c>
      <c r="AH198" s="141">
        <v>102</v>
      </c>
      <c r="AI198" s="141">
        <v>104.6</v>
      </c>
      <c r="AJ198" s="141">
        <v>146.80000000000001</v>
      </c>
      <c r="AK198" s="141">
        <v>185.7</v>
      </c>
      <c r="AL198" s="141">
        <v>189.2</v>
      </c>
      <c r="AM198" s="141">
        <v>134.9</v>
      </c>
      <c r="AN198" s="141">
        <v>120.65</v>
      </c>
      <c r="AO198" s="141">
        <v>127.5</v>
      </c>
      <c r="AP198" s="142">
        <v>127.9</v>
      </c>
    </row>
    <row r="199" spans="1:42" s="121" customFormat="1" x14ac:dyDescent="0.25">
      <c r="A199" s="143" cm="1">
        <f t="array" ref="A199:AP199">INDEX(INDICES,MATCH(EDATE(A198,1),'INDICES PRIX'!A:A,0),)</f>
        <v>44805</v>
      </c>
      <c r="B199" s="144">
        <v>117.1</v>
      </c>
      <c r="C199" s="144">
        <v>123.7</v>
      </c>
      <c r="D199" s="144">
        <v>125.5</v>
      </c>
      <c r="E199" s="144">
        <v>175</v>
      </c>
      <c r="F199" s="144">
        <v>148.12</v>
      </c>
      <c r="G199" s="144">
        <v>112.8</v>
      </c>
      <c r="H199" s="144">
        <v>117.1</v>
      </c>
      <c r="I199" s="144">
        <v>119.8</v>
      </c>
      <c r="J199" s="144">
        <v>972.8</v>
      </c>
      <c r="K199" s="144">
        <v>145.70426693210933</v>
      </c>
      <c r="L199" s="144">
        <v>135.69999999999999</v>
      </c>
      <c r="M199" s="144">
        <v>160.6</v>
      </c>
      <c r="N199" s="144">
        <v>114.6</v>
      </c>
      <c r="O199" s="144">
        <v>229.2</v>
      </c>
      <c r="P199" s="144">
        <v>110.9</v>
      </c>
      <c r="Q199" s="144">
        <v>136.69999999999999</v>
      </c>
      <c r="R199" s="144">
        <v>133.9</v>
      </c>
      <c r="S199" s="144">
        <v>166.9</v>
      </c>
      <c r="T199" s="144">
        <v>241.5</v>
      </c>
      <c r="U199" s="144">
        <v>212.8</v>
      </c>
      <c r="V199" s="144">
        <v>119.2</v>
      </c>
      <c r="W199" s="144">
        <v>111.8</v>
      </c>
      <c r="X199" s="144">
        <v>127</v>
      </c>
      <c r="Y199" s="144">
        <v>133.19999999999999</v>
      </c>
      <c r="Z199" s="144">
        <v>125.6</v>
      </c>
      <c r="AA199" s="144">
        <v>118.4</v>
      </c>
      <c r="AB199" s="144">
        <v>164.8</v>
      </c>
      <c r="AC199" s="144">
        <v>151.19999999999999</v>
      </c>
      <c r="AD199" s="144">
        <v>120.3</v>
      </c>
      <c r="AE199" s="144">
        <v>143.1</v>
      </c>
      <c r="AF199" s="144">
        <v>117</v>
      </c>
      <c r="AG199" s="144">
        <v>116.8</v>
      </c>
      <c r="AH199" s="144">
        <v>103</v>
      </c>
      <c r="AI199" s="144">
        <v>104.8</v>
      </c>
      <c r="AJ199" s="144">
        <v>152.80000000000001</v>
      </c>
      <c r="AK199" s="144">
        <v>183.8</v>
      </c>
      <c r="AL199" s="144">
        <v>168.9</v>
      </c>
      <c r="AM199" s="144">
        <v>135.19999999999999</v>
      </c>
      <c r="AN199" s="144">
        <v>114.92</v>
      </c>
      <c r="AO199" s="144">
        <v>127.5</v>
      </c>
      <c r="AP199" s="145">
        <v>130.30000000000001</v>
      </c>
    </row>
    <row r="200" spans="1:42" s="121" customFormat="1" x14ac:dyDescent="0.25">
      <c r="A200" s="136" t="s">
        <v>222</v>
      </c>
      <c r="B200" s="121">
        <f>SUM(B194:B199)</f>
        <v>690.2</v>
      </c>
      <c r="C200" s="121">
        <f t="shared" ref="C200:AP200" si="34">SUM(C194:C199)</f>
        <v>741.5</v>
      </c>
      <c r="D200" s="121">
        <f t="shared" si="34"/>
        <v>752</v>
      </c>
      <c r="E200" s="121">
        <f t="shared" si="34"/>
        <v>1159.6999999999998</v>
      </c>
      <c r="F200" s="121">
        <f t="shared" si="34"/>
        <v>973.99</v>
      </c>
      <c r="G200" s="121">
        <f t="shared" si="34"/>
        <v>675.4</v>
      </c>
      <c r="H200" s="121">
        <f t="shared" si="34"/>
        <v>696.6</v>
      </c>
      <c r="I200" s="121">
        <f t="shared" si="34"/>
        <v>780.79999999999984</v>
      </c>
      <c r="J200" s="121">
        <f t="shared" si="34"/>
        <v>3864</v>
      </c>
      <c r="K200" s="121">
        <f t="shared" si="34"/>
        <v>1028.2264492431286</v>
      </c>
      <c r="L200" s="121">
        <f t="shared" si="34"/>
        <v>812</v>
      </c>
      <c r="M200" s="121">
        <f t="shared" si="34"/>
        <v>963.2</v>
      </c>
      <c r="N200" s="121">
        <f t="shared" si="34"/>
        <v>680.4</v>
      </c>
      <c r="O200" s="121">
        <f t="shared" si="34"/>
        <v>1493.5</v>
      </c>
      <c r="P200" s="121">
        <f t="shared" si="34"/>
        <v>658.09999999999991</v>
      </c>
      <c r="Q200" s="121">
        <f t="shared" si="34"/>
        <v>829</v>
      </c>
      <c r="R200" s="121">
        <f t="shared" si="34"/>
        <v>783.3</v>
      </c>
      <c r="S200" s="121">
        <f t="shared" si="34"/>
        <v>1026.5</v>
      </c>
      <c r="T200" s="121">
        <f t="shared" si="34"/>
        <v>1509.8</v>
      </c>
      <c r="U200" s="121">
        <f t="shared" si="34"/>
        <v>1436.5</v>
      </c>
      <c r="V200" s="121">
        <f t="shared" si="34"/>
        <v>728.2</v>
      </c>
      <c r="W200" s="121">
        <f t="shared" si="34"/>
        <v>660.5</v>
      </c>
      <c r="X200" s="121">
        <f t="shared" si="34"/>
        <v>739.4</v>
      </c>
      <c r="Y200" s="121">
        <f t="shared" si="34"/>
        <v>779.5</v>
      </c>
      <c r="Z200" s="121">
        <f t="shared" si="34"/>
        <v>725.7</v>
      </c>
      <c r="AA200" s="121">
        <f t="shared" si="34"/>
        <v>706.69999999999993</v>
      </c>
      <c r="AB200" s="121">
        <f t="shared" si="34"/>
        <v>1029.4000000000001</v>
      </c>
      <c r="AC200" s="121">
        <f t="shared" si="34"/>
        <v>889.39999999999986</v>
      </c>
      <c r="AD200" s="121">
        <f t="shared" si="34"/>
        <v>707.99999999999989</v>
      </c>
      <c r="AE200" s="121">
        <f t="shared" si="34"/>
        <v>853.1</v>
      </c>
      <c r="AF200" s="121">
        <f t="shared" si="34"/>
        <v>695.2</v>
      </c>
      <c r="AG200" s="121">
        <f t="shared" si="34"/>
        <v>697.69999999999993</v>
      </c>
      <c r="AH200" s="121">
        <f t="shared" si="34"/>
        <v>608.5</v>
      </c>
      <c r="AI200" s="121">
        <f t="shared" si="34"/>
        <v>624.79999999999995</v>
      </c>
      <c r="AJ200" s="121">
        <f t="shared" si="34"/>
        <v>839.09999999999991</v>
      </c>
      <c r="AK200" s="121">
        <f t="shared" si="34"/>
        <v>1149.5</v>
      </c>
      <c r="AL200" s="121">
        <f t="shared" si="34"/>
        <v>1108.3000000000002</v>
      </c>
      <c r="AM200" s="121">
        <f t="shared" si="34"/>
        <v>803.8</v>
      </c>
      <c r="AN200" s="121">
        <f t="shared" si="34"/>
        <v>692.38</v>
      </c>
      <c r="AO200" s="121">
        <f t="shared" si="34"/>
        <v>762.90000000000009</v>
      </c>
      <c r="AP200" s="121">
        <f t="shared" si="34"/>
        <v>813.2</v>
      </c>
    </row>
    <row r="201" spans="1:42" s="121" customFormat="1" x14ac:dyDescent="0.25">
      <c r="A201" s="136" t="s">
        <v>223</v>
      </c>
      <c r="B201" s="121">
        <f>SUM(B188:B193)</f>
        <v>660.7</v>
      </c>
      <c r="C201" s="121">
        <f t="shared" ref="C201:AP201" si="35">SUM(C188:C193)</f>
        <v>735.9</v>
      </c>
      <c r="D201" s="121">
        <f t="shared" si="35"/>
        <v>741.5</v>
      </c>
      <c r="E201" s="121">
        <f t="shared" si="35"/>
        <v>983.36162712515613</v>
      </c>
      <c r="F201" s="121">
        <f t="shared" si="35"/>
        <v>852.3</v>
      </c>
      <c r="G201" s="121">
        <f t="shared" si="35"/>
        <v>639.09999999999991</v>
      </c>
      <c r="H201" s="121">
        <f t="shared" si="35"/>
        <v>666.59999999999991</v>
      </c>
      <c r="I201" s="121">
        <f t="shared" si="35"/>
        <v>861.5</v>
      </c>
      <c r="J201" s="121">
        <f t="shared" si="35"/>
        <v>2650.9</v>
      </c>
      <c r="K201" s="121">
        <f t="shared" si="35"/>
        <v>828.20439743694931</v>
      </c>
      <c r="L201" s="121">
        <f t="shared" si="35"/>
        <v>753.2</v>
      </c>
      <c r="M201" s="121">
        <f t="shared" si="35"/>
        <v>894.5</v>
      </c>
      <c r="N201" s="121">
        <f t="shared" si="35"/>
        <v>649</v>
      </c>
      <c r="O201" s="121">
        <f t="shared" si="35"/>
        <v>1183.0999999999999</v>
      </c>
      <c r="P201" s="121">
        <f t="shared" si="35"/>
        <v>627.70000000000005</v>
      </c>
      <c r="Q201" s="121">
        <f t="shared" si="35"/>
        <v>750</v>
      </c>
      <c r="R201" s="121">
        <f t="shared" si="35"/>
        <v>689.09999999999991</v>
      </c>
      <c r="S201" s="121">
        <f t="shared" si="35"/>
        <v>884.5</v>
      </c>
      <c r="T201" s="121">
        <f t="shared" si="35"/>
        <v>1175.5</v>
      </c>
      <c r="U201" s="121">
        <f t="shared" si="35"/>
        <v>1152.4000000000001</v>
      </c>
      <c r="V201" s="121">
        <f t="shared" si="35"/>
        <v>687.3</v>
      </c>
      <c r="W201" s="121">
        <f t="shared" si="35"/>
        <v>621.9</v>
      </c>
      <c r="X201" s="121">
        <f t="shared" si="35"/>
        <v>647.99999999999989</v>
      </c>
      <c r="Y201" s="121">
        <f t="shared" si="35"/>
        <v>662.1</v>
      </c>
      <c r="Z201" s="121">
        <f t="shared" si="35"/>
        <v>680.84677419354841</v>
      </c>
      <c r="AA201" s="121">
        <f t="shared" si="35"/>
        <v>678.6</v>
      </c>
      <c r="AB201" s="121">
        <f t="shared" si="35"/>
        <v>904.5</v>
      </c>
      <c r="AC201" s="121">
        <f t="shared" si="35"/>
        <v>761.4</v>
      </c>
      <c r="AD201" s="121">
        <f t="shared" si="35"/>
        <v>654.5</v>
      </c>
      <c r="AE201" s="121">
        <f t="shared" si="35"/>
        <v>778.5</v>
      </c>
      <c r="AF201" s="121">
        <f t="shared" si="35"/>
        <v>656.6</v>
      </c>
      <c r="AG201" s="121">
        <f t="shared" si="35"/>
        <v>660.4</v>
      </c>
      <c r="AH201" s="121">
        <f t="shared" si="35"/>
        <v>587.20000000000005</v>
      </c>
      <c r="AI201" s="121">
        <f t="shared" si="35"/>
        <v>616.20000000000005</v>
      </c>
      <c r="AJ201" s="121">
        <f t="shared" si="35"/>
        <v>756.1</v>
      </c>
      <c r="AK201" s="121">
        <f t="shared" si="35"/>
        <v>979.8</v>
      </c>
      <c r="AL201" s="121">
        <f t="shared" si="35"/>
        <v>1081.2</v>
      </c>
      <c r="AM201" s="121">
        <f t="shared" si="35"/>
        <v>751.8</v>
      </c>
      <c r="AN201" s="121">
        <f t="shared" si="35"/>
        <v>659.46</v>
      </c>
      <c r="AO201" s="121">
        <f t="shared" si="35"/>
        <v>733.4</v>
      </c>
      <c r="AP201" s="121">
        <f t="shared" si="35"/>
        <v>756.7</v>
      </c>
    </row>
    <row r="202" spans="1:42" s="121" customFormat="1" x14ac:dyDescent="0.25">
      <c r="A202" s="136"/>
    </row>
    <row r="203" spans="1:42" s="121" customFormat="1" ht="18.75" x14ac:dyDescent="0.3">
      <c r="A203" s="136"/>
      <c r="B203" s="244" t="s">
        <v>201</v>
      </c>
      <c r="C203" s="244"/>
      <c r="D203" s="244"/>
      <c r="E203" s="244"/>
    </row>
    <row r="204" spans="1:42" s="121" customFormat="1" x14ac:dyDescent="0.25">
      <c r="A204" s="136" cm="1">
        <f t="array" ref="A204:AP204">INDEX(INDICES,MATCH(DATE1,'INDICES PRIX'!A:A,0),)</f>
        <v>43101</v>
      </c>
      <c r="B204" s="121">
        <v>104.1</v>
      </c>
      <c r="C204" s="121">
        <v>117.8</v>
      </c>
      <c r="D204" s="121">
        <v>115.1</v>
      </c>
      <c r="E204" s="121">
        <v>130.80422550941537</v>
      </c>
      <c r="F204" s="121">
        <v>120.07</v>
      </c>
      <c r="G204" s="121">
        <v>101.5</v>
      </c>
      <c r="H204" s="121">
        <v>105.6</v>
      </c>
      <c r="I204" s="121">
        <v>108.5</v>
      </c>
      <c r="J204" s="121">
        <v>99.2</v>
      </c>
      <c r="K204" s="121">
        <v>109.87487318227933</v>
      </c>
      <c r="L204" s="121">
        <v>98.8</v>
      </c>
      <c r="M204" s="121">
        <v>106.4</v>
      </c>
      <c r="N204" s="121">
        <v>99.6</v>
      </c>
      <c r="O204" s="121">
        <v>127.8</v>
      </c>
      <c r="P204" s="121">
        <v>99</v>
      </c>
      <c r="Q204" s="121">
        <v>101.2</v>
      </c>
      <c r="R204" s="121">
        <v>100.7</v>
      </c>
      <c r="S204" s="121">
        <v>99.7</v>
      </c>
      <c r="T204" s="121">
        <v>123.2</v>
      </c>
      <c r="U204" s="121">
        <v>123.3</v>
      </c>
      <c r="V204" s="121">
        <v>97.4</v>
      </c>
      <c r="W204" s="121">
        <v>97.3</v>
      </c>
      <c r="X204" s="121">
        <v>91.9</v>
      </c>
      <c r="Y204" s="121">
        <v>100.2</v>
      </c>
      <c r="Z204" s="121">
        <v>104.63709677419355</v>
      </c>
      <c r="AA204" s="121">
        <v>102.7</v>
      </c>
      <c r="AB204" s="121">
        <v>104.3</v>
      </c>
      <c r="AC204" s="121">
        <v>104.6</v>
      </c>
      <c r="AD204" s="121">
        <v>96.7</v>
      </c>
      <c r="AE204" s="121">
        <v>99.4</v>
      </c>
      <c r="AF204" s="121">
        <v>101.8</v>
      </c>
      <c r="AG204" s="121">
        <v>100.7</v>
      </c>
      <c r="AH204" s="121">
        <v>97.2</v>
      </c>
      <c r="AI204" s="121">
        <v>106</v>
      </c>
      <c r="AJ204" s="121">
        <v>104.7</v>
      </c>
      <c r="AK204" s="121">
        <v>115.9</v>
      </c>
      <c r="AL204" s="121">
        <v>103.9</v>
      </c>
      <c r="AM204" s="121">
        <v>102.7</v>
      </c>
      <c r="AN204" s="121">
        <v>103.76</v>
      </c>
      <c r="AO204" s="121">
        <v>105.9</v>
      </c>
      <c r="AP204" s="121">
        <v>104.1</v>
      </c>
    </row>
    <row r="205" spans="1:42" s="121" customFormat="1" x14ac:dyDescent="0.25">
      <c r="A205" s="136" cm="1">
        <f t="array" ref="A205:AP205">INDEX(INDICES,MATCH(DATE2,'INDICES PRIX'!A:A,0),)</f>
        <v>44805</v>
      </c>
      <c r="B205" s="121">
        <v>117.1</v>
      </c>
      <c r="C205" s="121">
        <v>123.7</v>
      </c>
      <c r="D205" s="121">
        <v>125.5</v>
      </c>
      <c r="E205" s="121">
        <v>175</v>
      </c>
      <c r="F205" s="121">
        <v>148.12</v>
      </c>
      <c r="G205" s="121">
        <v>112.8</v>
      </c>
      <c r="H205" s="121">
        <v>117.1</v>
      </c>
      <c r="I205" s="121">
        <v>119.8</v>
      </c>
      <c r="J205" s="121">
        <v>972.8</v>
      </c>
      <c r="K205" s="121">
        <v>145.70426693210933</v>
      </c>
      <c r="L205" s="121">
        <v>135.69999999999999</v>
      </c>
      <c r="M205" s="121">
        <v>160.6</v>
      </c>
      <c r="N205" s="121">
        <v>114.6</v>
      </c>
      <c r="O205" s="121">
        <v>229.2</v>
      </c>
      <c r="P205" s="121">
        <v>110.9</v>
      </c>
      <c r="Q205" s="121">
        <v>136.69999999999999</v>
      </c>
      <c r="R205" s="121">
        <v>133.9</v>
      </c>
      <c r="S205" s="121">
        <v>166.9</v>
      </c>
      <c r="T205" s="121">
        <v>241.5</v>
      </c>
      <c r="U205" s="121">
        <v>212.8</v>
      </c>
      <c r="V205" s="121">
        <v>119.2</v>
      </c>
      <c r="W205" s="121">
        <v>111.8</v>
      </c>
      <c r="X205" s="121">
        <v>127</v>
      </c>
      <c r="Y205" s="121">
        <v>133.19999999999999</v>
      </c>
      <c r="Z205" s="121">
        <v>125.6</v>
      </c>
      <c r="AA205" s="121">
        <v>118.4</v>
      </c>
      <c r="AB205" s="121">
        <v>164.8</v>
      </c>
      <c r="AC205" s="121">
        <v>151.19999999999999</v>
      </c>
      <c r="AD205" s="121">
        <v>120.3</v>
      </c>
      <c r="AE205" s="121">
        <v>143.1</v>
      </c>
      <c r="AF205" s="121">
        <v>117</v>
      </c>
      <c r="AG205" s="121">
        <v>116.8</v>
      </c>
      <c r="AH205" s="121">
        <v>103</v>
      </c>
      <c r="AI205" s="121">
        <v>104.8</v>
      </c>
      <c r="AJ205" s="121">
        <v>152.80000000000001</v>
      </c>
      <c r="AK205" s="121">
        <v>183.8</v>
      </c>
      <c r="AL205" s="121">
        <v>168.9</v>
      </c>
      <c r="AM205" s="121">
        <v>135.19999999999999</v>
      </c>
      <c r="AN205" s="121">
        <v>114.92</v>
      </c>
      <c r="AO205" s="121">
        <v>127.5</v>
      </c>
      <c r="AP205" s="121">
        <v>130.30000000000001</v>
      </c>
    </row>
  </sheetData>
  <sheetProtection algorithmName="SHA-512" hashValue="n9w5vHJeZttzs53i7pmJGwH6P+qtYhjSRcbMBIIUd/zGBKjVVwLM+OEvSjjdl0Y/qZh+B7GdaVWdSeHo4/TuJg==" saltValue="oG24ll4m+b6/rO17PW3jBQ==" spinCount="100000" sheet="1" objects="1" scenarios="1"/>
  <mergeCells count="20">
    <mergeCell ref="B1:F2"/>
    <mergeCell ref="B149:E149"/>
    <mergeCell ref="B150:D150"/>
    <mergeCell ref="B160:D160"/>
    <mergeCell ref="B203:E203"/>
    <mergeCell ref="B6:D6"/>
    <mergeCell ref="B22:D22"/>
    <mergeCell ref="B38:D38"/>
    <mergeCell ref="B5:E5"/>
    <mergeCell ref="B54:E54"/>
    <mergeCell ref="B55:D55"/>
    <mergeCell ref="B71:D71"/>
    <mergeCell ref="B134:D134"/>
    <mergeCell ref="B103:E103"/>
    <mergeCell ref="B104:D104"/>
    <mergeCell ref="B119:D119"/>
    <mergeCell ref="B176:E176"/>
    <mergeCell ref="B177:D177"/>
    <mergeCell ref="B187:D187"/>
    <mergeCell ref="B87:D8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R83"/>
  <sheetViews>
    <sheetView topLeftCell="A4" workbookViewId="0">
      <selection activeCell="H164" sqref="H164"/>
    </sheetView>
  </sheetViews>
  <sheetFormatPr baseColWidth="10" defaultRowHeight="15" x14ac:dyDescent="0.25"/>
  <cols>
    <col min="1" max="1" width="25.7109375" style="3" customWidth="1"/>
    <col min="2" max="2" width="11.5703125" customWidth="1"/>
    <col min="3" max="3" width="74.85546875" bestFit="1" customWidth="1"/>
    <col min="4" max="5" width="11.5703125" customWidth="1"/>
  </cols>
  <sheetData>
    <row r="1" spans="1:13" s="121" customFormat="1" ht="21" x14ac:dyDescent="0.35">
      <c r="A1" s="3"/>
      <c r="B1" s="255" t="s">
        <v>204</v>
      </c>
      <c r="C1" s="256"/>
      <c r="D1" s="256"/>
      <c r="E1" s="256"/>
      <c r="F1" s="256"/>
      <c r="G1" s="256"/>
      <c r="H1" s="256"/>
      <c r="I1" s="256"/>
      <c r="J1" s="256"/>
      <c r="K1" s="256"/>
      <c r="L1" s="256"/>
      <c r="M1" s="256"/>
    </row>
    <row r="2" spans="1:13" s="121" customFormat="1" x14ac:dyDescent="0.25">
      <c r="A2" s="3"/>
      <c r="D2" s="23"/>
      <c r="E2" s="23"/>
      <c r="F2" s="23"/>
      <c r="G2" s="23"/>
      <c r="I2" s="121" t="str" cm="1">
        <f t="array" ref="I2:I3">'A MODIFIER'!A5:A6</f>
        <v>*/2021 = Cumul janv 2022-sept 2022 / Cumul janv 2021-sept 2021</v>
      </c>
    </row>
    <row r="3" spans="1:13" s="121" customFormat="1" x14ac:dyDescent="0.25">
      <c r="A3" s="153"/>
      <c r="D3" s="23"/>
      <c r="E3" s="23"/>
      <c r="F3" s="23"/>
      <c r="G3" s="23"/>
      <c r="I3" t="str">
        <v>*/2020 = Cumul janv 2022-sept 2022 / Cumul janv 2020-sept 2020</v>
      </c>
    </row>
    <row r="5" spans="1:13" x14ac:dyDescent="0.25">
      <c r="B5" s="251" t="s">
        <v>207</v>
      </c>
      <c r="C5" s="251"/>
      <c r="D5" s="251"/>
      <c r="E5" s="251"/>
      <c r="J5" s="251" t="s">
        <v>206</v>
      </c>
      <c r="K5" s="251"/>
      <c r="L5" s="251"/>
      <c r="M5" s="251"/>
    </row>
    <row r="6" spans="1:13" x14ac:dyDescent="0.25">
      <c r="D6" t="str">
        <f>'A MODIFIER'!A10</f>
        <v>*/2021</v>
      </c>
      <c r="E6" s="121" t="str">
        <f>'A MODIFIER'!A9</f>
        <v>*/2020</v>
      </c>
      <c r="L6" s="121" t="str">
        <f>'A MODIFIER'!A10</f>
        <v>*/2021</v>
      </c>
      <c r="M6" s="121" t="str">
        <f>'A MODIFIER'!A9</f>
        <v>*/2020</v>
      </c>
    </row>
    <row r="7" spans="1:13" x14ac:dyDescent="0.25">
      <c r="A7" s="154" t="s">
        <v>224</v>
      </c>
      <c r="B7" t="s">
        <v>24</v>
      </c>
      <c r="C7" t="s">
        <v>0</v>
      </c>
      <c r="D7" s="21" cm="1">
        <f t="array" ref="D7:D29">TRANSPOSE(D31:Z31)</f>
        <v>0.10459233313874305</v>
      </c>
      <c r="E7" s="21" cm="1">
        <f t="array" ref="E7:E29">TRANSPOSE(D32:Z32)</f>
        <v>0.14642027668383295</v>
      </c>
      <c r="I7" s="121" t="str" cm="1">
        <f t="array" ref="I7:M29">_xlfn._xlws.SORT(A7:E29,4,-1,FALSE)</f>
        <v>https://www.insee.fr/fr/statistiques/serie/001710995</v>
      </c>
      <c r="J7" t="str">
        <v>TP07b</v>
      </c>
      <c r="K7" s="121" t="str">
        <v>Travaux de génie civil, béton et acier pour ouvrages maritimes</v>
      </c>
      <c r="L7" s="22">
        <v>0.25269312218027817</v>
      </c>
      <c r="M7" s="22">
        <v>0.50786877978499367</v>
      </c>
    </row>
    <row r="8" spans="1:13" x14ac:dyDescent="0.25">
      <c r="A8" s="154" t="s">
        <v>225</v>
      </c>
      <c r="B8" t="s">
        <v>25</v>
      </c>
      <c r="C8" t="s">
        <v>1</v>
      </c>
      <c r="D8" s="21">
        <v>8.3240740740740726E-2</v>
      </c>
      <c r="E8" s="5">
        <v>0.13759237650719558</v>
      </c>
      <c r="I8" s="121" t="str">
        <v>https://www.insee.fr/fr/statistiques/serie/001710997</v>
      </c>
      <c r="J8" s="121" t="str">
        <v>TP09</v>
      </c>
      <c r="K8" s="22" t="str">
        <v>Fabrication et mise en œuvre d’enrobés </v>
      </c>
      <c r="L8" s="22">
        <v>0.23414877683474788</v>
      </c>
      <c r="M8">
        <v>0.31559340074507714</v>
      </c>
    </row>
    <row r="9" spans="1:13" x14ac:dyDescent="0.25">
      <c r="A9" s="154" t="s">
        <v>226</v>
      </c>
      <c r="B9" t="s">
        <v>26</v>
      </c>
      <c r="C9" t="s">
        <v>2</v>
      </c>
      <c r="D9" s="21">
        <v>8.1769701757850921E-2</v>
      </c>
      <c r="E9" s="5">
        <v>0.10926582278481001</v>
      </c>
      <c r="I9" s="121" t="str">
        <v>https://www.insee.fr/fr/statistiques/serie/001710993</v>
      </c>
      <c r="J9" s="121" t="str">
        <v>TP06a</v>
      </c>
      <c r="K9" s="22" t="str">
        <v>Grands dragages maritimes </v>
      </c>
      <c r="L9" s="22">
        <v>0.17909135319980463</v>
      </c>
      <c r="M9">
        <v>0.25878794200479804</v>
      </c>
    </row>
    <row r="10" spans="1:13" x14ac:dyDescent="0.25">
      <c r="A10" s="37" t="s">
        <v>282</v>
      </c>
      <c r="B10" t="s">
        <v>27</v>
      </c>
      <c r="C10" t="s">
        <v>3</v>
      </c>
      <c r="D10" s="21">
        <v>9.1720779220779258E-2</v>
      </c>
      <c r="E10" s="5">
        <v>0.10962153243271122</v>
      </c>
      <c r="I10" s="121" t="str">
        <v>https://www.insee.fr/fr/statistiques/serie/001711005</v>
      </c>
      <c r="J10" s="121" t="str">
        <v>TP13</v>
      </c>
      <c r="K10" s="22" t="str">
        <v xml:space="preserve">Charpentes et ouvrages d’art métalliques </v>
      </c>
      <c r="L10" s="22">
        <v>0.15359357898577142</v>
      </c>
      <c r="M10">
        <v>0.27051732797589167</v>
      </c>
    </row>
    <row r="11" spans="1:13" x14ac:dyDescent="0.25">
      <c r="A11" s="154" t="s">
        <v>227</v>
      </c>
      <c r="B11" t="s">
        <v>28</v>
      </c>
      <c r="C11" t="s">
        <v>4</v>
      </c>
      <c r="D11" s="21">
        <v>0.10705849003118195</v>
      </c>
      <c r="E11" s="5">
        <v>0.17701426562186051</v>
      </c>
      <c r="I11" s="121" t="str">
        <v>https://www.insee.fr/fr/statistiques/serie/001711001</v>
      </c>
      <c r="J11" s="121" t="str">
        <v>TP11</v>
      </c>
      <c r="K11" s="22" t="str">
        <v>Canalisations grandes distances de transport / transfert  avec fourniture de tuyaux</v>
      </c>
      <c r="L11" s="22">
        <v>0.13733333333333309</v>
      </c>
      <c r="M11">
        <v>0.17842720510095633</v>
      </c>
    </row>
    <row r="12" spans="1:13" x14ac:dyDescent="0.25">
      <c r="A12" s="154" t="s">
        <v>228</v>
      </c>
      <c r="B12" t="s">
        <v>29</v>
      </c>
      <c r="C12" t="s">
        <v>5</v>
      </c>
      <c r="D12" s="21">
        <v>7.9362047559927484E-2</v>
      </c>
      <c r="E12" s="5">
        <v>0.12524890481879747</v>
      </c>
      <c r="I12" s="121" t="str">
        <v>https://www.insee.fr/fr/statistiques/serie/001710996</v>
      </c>
      <c r="J12" s="121" t="str">
        <v>TP08</v>
      </c>
      <c r="K12" s="22" t="str">
        <v>Travaux d’aménagement et entretien de voirie</v>
      </c>
      <c r="L12" s="22">
        <v>0.13152421511339996</v>
      </c>
      <c r="M12">
        <v>0.17408282807522357</v>
      </c>
    </row>
    <row r="13" spans="1:13" x14ac:dyDescent="0.25">
      <c r="A13" s="154" t="s">
        <v>229</v>
      </c>
      <c r="B13" t="s">
        <v>30</v>
      </c>
      <c r="C13" t="s">
        <v>6</v>
      </c>
      <c r="D13" s="21">
        <v>7.8682875466640878E-2</v>
      </c>
      <c r="E13" s="5">
        <v>0.1238655629799541</v>
      </c>
      <c r="I13" s="121" t="str">
        <v>https://www.insee.fr/fr/statistiques/serie/001711000</v>
      </c>
      <c r="J13" s="121" t="str">
        <v>TP10c</v>
      </c>
      <c r="K13" s="22" t="str">
        <v>Réhabilitation de canalisations non visitables</v>
      </c>
      <c r="L13" s="22">
        <v>0.12891599667313547</v>
      </c>
      <c r="M13">
        <v>0.25446703635243395</v>
      </c>
    </row>
    <row r="14" spans="1:13" x14ac:dyDescent="0.25">
      <c r="A14" s="154" t="s">
        <v>230</v>
      </c>
      <c r="B14" t="s">
        <v>31</v>
      </c>
      <c r="C14" t="s">
        <v>7</v>
      </c>
      <c r="D14" s="21">
        <v>0.17909135319980463</v>
      </c>
      <c r="E14" s="5">
        <v>0.25878794200479804</v>
      </c>
      <c r="I14" s="121" t="str">
        <v>https://www.insee.fr/fr/statistiques/serie/001711003</v>
      </c>
      <c r="J14" s="121" t="str">
        <v>TP12b</v>
      </c>
      <c r="K14" s="22" t="str">
        <v>Éclairage public -Travaux d'installation</v>
      </c>
      <c r="L14" s="22">
        <v>0.10822424302987899</v>
      </c>
      <c r="M14">
        <v>0.14118131302737202</v>
      </c>
    </row>
    <row r="15" spans="1:13" x14ac:dyDescent="0.25">
      <c r="A15" s="154" t="s">
        <v>231</v>
      </c>
      <c r="B15" t="s">
        <v>32</v>
      </c>
      <c r="C15" t="s">
        <v>8</v>
      </c>
      <c r="D15" s="21">
        <v>8.6146095717884341E-2</v>
      </c>
      <c r="E15" s="5">
        <v>0.11559557073372662</v>
      </c>
      <c r="I15" s="121" t="str">
        <v>https://www.insee.fr/fr/statistiques/serie/001710990</v>
      </c>
      <c r="J15" s="121" t="str">
        <v>TP04</v>
      </c>
      <c r="K15" s="22" t="str">
        <v xml:space="preserve">Fondations et travaux géotechniques </v>
      </c>
      <c r="L15" s="22">
        <v>0.10705849003118195</v>
      </c>
      <c r="M15">
        <v>0.17701426562186051</v>
      </c>
    </row>
    <row r="16" spans="1:13" x14ac:dyDescent="0.25">
      <c r="A16" s="154" t="s">
        <v>232</v>
      </c>
      <c r="B16" t="s">
        <v>33</v>
      </c>
      <c r="C16" t="s">
        <v>9</v>
      </c>
      <c r="D16" s="21">
        <v>0.25269312218027817</v>
      </c>
      <c r="E16" s="5">
        <v>0.50786877978499367</v>
      </c>
      <c r="I16" s="121" t="str">
        <v>https://www.insee.fr/fr/statistiques/serie/001711007</v>
      </c>
      <c r="J16" s="121" t="str">
        <v>TP01</v>
      </c>
      <c r="K16" s="22" t="str">
        <v>Index général tous travaux</v>
      </c>
      <c r="L16" s="22">
        <v>0.10459233313874305</v>
      </c>
      <c r="M16">
        <v>0.14642027668383295</v>
      </c>
    </row>
    <row r="17" spans="1:30" x14ac:dyDescent="0.25">
      <c r="A17" s="154" t="s">
        <v>233</v>
      </c>
      <c r="B17" t="s">
        <v>34</v>
      </c>
      <c r="C17" t="s">
        <v>10</v>
      </c>
      <c r="D17" s="21">
        <v>0.13152421511339996</v>
      </c>
      <c r="E17" s="5">
        <v>0.17408282807522357</v>
      </c>
      <c r="I17" s="121" t="str">
        <v>https://www.insee.fr/fr/statistiques/serie/010605983</v>
      </c>
      <c r="J17" s="121" t="str">
        <v>TP10d</v>
      </c>
      <c r="K17" s="22" t="str">
        <v>Réseaux de chauffage et de froid avec fourniture de tuyaux</v>
      </c>
      <c r="L17" s="22">
        <v>9.263050153531216E-2</v>
      </c>
      <c r="M17">
        <v>0.12748204478242497</v>
      </c>
    </row>
    <row r="18" spans="1:30" x14ac:dyDescent="0.25">
      <c r="A18" s="154" t="s">
        <v>234</v>
      </c>
      <c r="B18" t="s">
        <v>35</v>
      </c>
      <c r="C18" t="s">
        <v>11</v>
      </c>
      <c r="D18" s="21">
        <v>0.23414877683474788</v>
      </c>
      <c r="E18" s="5">
        <v>0.31559340074507714</v>
      </c>
      <c r="I18" s="121" t="str">
        <v>https://www.insee.fr/fr/statistiques/serie/001710989</v>
      </c>
      <c r="J18" s="121" t="str">
        <v>TP03b</v>
      </c>
      <c r="K18" s="22" t="str">
        <v>Travaux à l’explosif</v>
      </c>
      <c r="L18" s="22">
        <v>9.1720779220779258E-2</v>
      </c>
      <c r="M18">
        <v>0.10962153243271122</v>
      </c>
    </row>
    <row r="19" spans="1:30" x14ac:dyDescent="0.25">
      <c r="A19" s="154" t="s">
        <v>235</v>
      </c>
      <c r="B19" t="s">
        <v>36</v>
      </c>
      <c r="C19" t="s">
        <v>12</v>
      </c>
      <c r="D19" s="21">
        <v>7.5738376060044965E-2</v>
      </c>
      <c r="E19" s="5">
        <v>0.10570083158000232</v>
      </c>
      <c r="I19" s="121" t="str">
        <v>https://www.insee.fr/fr/statistiques/serie/001710994</v>
      </c>
      <c r="J19" s="121" t="str">
        <v>TP06b</v>
      </c>
      <c r="K19" s="22" t="str">
        <v>Dragages fluviaux et petits dragages maritimes</v>
      </c>
      <c r="L19" s="22">
        <v>8.6146095717884341E-2</v>
      </c>
      <c r="M19">
        <v>0.11559557073372662</v>
      </c>
    </row>
    <row r="20" spans="1:30" x14ac:dyDescent="0.25">
      <c r="A20" s="154" t="s">
        <v>236</v>
      </c>
      <c r="B20" t="s">
        <v>37</v>
      </c>
      <c r="C20" t="s">
        <v>13</v>
      </c>
      <c r="D20" s="21">
        <v>4.7582428145726885E-2</v>
      </c>
      <c r="E20" s="5">
        <v>6.9165113313057969E-2</v>
      </c>
      <c r="I20" s="121" t="str">
        <v>https://www.insee.fr/fr/statistiques/serie/001710987</v>
      </c>
      <c r="J20" s="121" t="str">
        <v>TP02</v>
      </c>
      <c r="K20" s="22" t="str">
        <v>Travaux de génie civil et d’ouvrages d’art neufs ou rénovation</v>
      </c>
      <c r="L20" s="22">
        <v>8.3240740740740726E-2</v>
      </c>
      <c r="M20">
        <v>0.13759237650719558</v>
      </c>
    </row>
    <row r="21" spans="1:30" x14ac:dyDescent="0.25">
      <c r="A21" s="154" t="s">
        <v>237</v>
      </c>
      <c r="B21" t="s">
        <v>38</v>
      </c>
      <c r="C21" t="s">
        <v>14</v>
      </c>
      <c r="D21" s="21">
        <v>0.12891599667313547</v>
      </c>
      <c r="E21" s="5">
        <v>0.25446703635243395</v>
      </c>
      <c r="I21" s="121" t="str">
        <v>https://www.insee.fr/fr/statistiques/serie/001710988</v>
      </c>
      <c r="J21" s="121" t="str">
        <v>TP03a</v>
      </c>
      <c r="K21" s="22" t="str">
        <v>Grands terrassements</v>
      </c>
      <c r="L21" s="22">
        <v>8.1769701757850921E-2</v>
      </c>
      <c r="M21">
        <v>0.10926582278481001</v>
      </c>
    </row>
    <row r="22" spans="1:30" x14ac:dyDescent="0.25">
      <c r="A22" s="154" t="s">
        <v>238</v>
      </c>
      <c r="B22" t="s">
        <v>39</v>
      </c>
      <c r="C22" t="s">
        <v>15</v>
      </c>
      <c r="D22" s="21">
        <v>9.263050153531216E-2</v>
      </c>
      <c r="E22" s="5">
        <v>0.12748204478242497</v>
      </c>
      <c r="I22" s="121" t="str">
        <v>https://www.insee.fr/fr/statistiques/serie/001710991</v>
      </c>
      <c r="J22" s="121" t="str">
        <v>TP05a</v>
      </c>
      <c r="K22" s="22" t="str">
        <v xml:space="preserve">Travaux en souterrains traditionnels </v>
      </c>
      <c r="L22" s="22">
        <v>7.9362047559927484E-2</v>
      </c>
      <c r="M22">
        <v>0.12524890481879747</v>
      </c>
    </row>
    <row r="23" spans="1:30" x14ac:dyDescent="0.25">
      <c r="A23" s="154" t="s">
        <v>239</v>
      </c>
      <c r="B23" t="s">
        <v>40</v>
      </c>
      <c r="C23" t="s">
        <v>16</v>
      </c>
      <c r="D23" s="21">
        <v>0.13733333333333309</v>
      </c>
      <c r="E23" s="5">
        <v>0.17842720510095633</v>
      </c>
      <c r="I23" s="121" t="str">
        <v>https://www.insee.fr/fr/statistiques/serie/001710992</v>
      </c>
      <c r="J23" s="121" t="str">
        <v>TP05b</v>
      </c>
      <c r="K23" s="22" t="str">
        <v xml:space="preserve">Travaux en souterrains avec tunnelier </v>
      </c>
      <c r="L23" s="22">
        <v>7.8682875466640878E-2</v>
      </c>
      <c r="M23">
        <v>0.1238655629799541</v>
      </c>
    </row>
    <row r="24" spans="1:30" x14ac:dyDescent="0.25">
      <c r="A24" s="154" t="s">
        <v>240</v>
      </c>
      <c r="B24" t="s">
        <v>41</v>
      </c>
      <c r="C24" t="s">
        <v>17</v>
      </c>
      <c r="D24" s="21">
        <v>6.3763909046927747E-2</v>
      </c>
      <c r="E24" s="5">
        <v>8.8407088407088219E-2</v>
      </c>
      <c r="I24" s="121" t="str">
        <v>https://www.insee.fr/fr/statistiques/serie/001710998</v>
      </c>
      <c r="J24" s="121" t="str">
        <v>TP10a</v>
      </c>
      <c r="K24" s="22" t="str">
        <v xml:space="preserve">Canalisations, assainissement et adduction d’eau avec fourniture de tuyaux </v>
      </c>
      <c r="L24" s="22">
        <v>7.5738376060044965E-2</v>
      </c>
      <c r="M24">
        <v>0.10570083158000232</v>
      </c>
    </row>
    <row r="25" spans="1:30" x14ac:dyDescent="0.25">
      <c r="A25" s="154" t="s">
        <v>241</v>
      </c>
      <c r="B25" t="s">
        <v>42</v>
      </c>
      <c r="C25" t="s">
        <v>18</v>
      </c>
      <c r="D25" s="21">
        <v>0.10822424302987899</v>
      </c>
      <c r="E25" s="5">
        <v>0.14118131302737202</v>
      </c>
      <c r="I25" s="121" t="str">
        <v>https://www.insee.fr/fr/statistiques/serie/001711002</v>
      </c>
      <c r="J25" s="121" t="str">
        <v>TP12a</v>
      </c>
      <c r="K25" s="22" t="str">
        <v>Réseaux d'énergie et de communication</v>
      </c>
      <c r="L25" s="22">
        <v>6.3763909046927747E-2</v>
      </c>
      <c r="M25">
        <v>8.8407088407088219E-2</v>
      </c>
    </row>
    <row r="26" spans="1:30" x14ac:dyDescent="0.25">
      <c r="A26" s="154" t="s">
        <v>242</v>
      </c>
      <c r="B26" t="s">
        <v>43</v>
      </c>
      <c r="C26" t="s">
        <v>19</v>
      </c>
      <c r="D26" s="21">
        <v>2.6580320896965048E-2</v>
      </c>
      <c r="E26" s="5">
        <v>3.1064945150956147E-2</v>
      </c>
      <c r="I26" s="121" t="str">
        <v>https://www.insee.fr/fr/statistiques/serie/001710999</v>
      </c>
      <c r="J26" s="121" t="str">
        <v>TP10b</v>
      </c>
      <c r="K26" s="22" t="str">
        <v>Canalisations sans fourniture de tuyaux</v>
      </c>
      <c r="L26" s="22">
        <v>4.7582428145726885E-2</v>
      </c>
      <c r="M26">
        <v>6.9165113313057969E-2</v>
      </c>
    </row>
    <row r="27" spans="1:30" x14ac:dyDescent="0.25">
      <c r="A27" s="154" t="s">
        <v>243</v>
      </c>
      <c r="B27" t="s">
        <v>44</v>
      </c>
      <c r="C27" t="s">
        <v>20</v>
      </c>
      <c r="D27" s="21">
        <v>2.1133525456292102E-2</v>
      </c>
      <c r="E27" s="5">
        <v>2.4973483752772196E-2</v>
      </c>
      <c r="I27" s="121" t="str">
        <v>https://www.insee.fr/fr/statistiques/serie/001711006</v>
      </c>
      <c r="J27" s="121" t="str">
        <v>TP14</v>
      </c>
      <c r="K27" s="22" t="str">
        <v>Travaux immergés par scaphandriers</v>
      </c>
      <c r="L27" s="22">
        <v>4.2835336767792276E-2</v>
      </c>
      <c r="M27">
        <v>5.277858037176153E-2</v>
      </c>
    </row>
    <row r="28" spans="1:30" x14ac:dyDescent="0.25">
      <c r="A28" s="154" t="s">
        <v>244</v>
      </c>
      <c r="B28" t="s">
        <v>45</v>
      </c>
      <c r="C28" t="s">
        <v>21</v>
      </c>
      <c r="D28" s="21">
        <v>0.15359357898577142</v>
      </c>
      <c r="E28" s="5">
        <v>0.27051732797589167</v>
      </c>
      <c r="I28" s="121" t="str">
        <v>https://www.insee.fr/fr/statistiques/serie/001711004</v>
      </c>
      <c r="J28" s="121" t="str">
        <v>TP12c</v>
      </c>
      <c r="K28" s="22" t="str">
        <v>Éclairage public - Travaux  de maintenance</v>
      </c>
      <c r="L28" s="22">
        <v>2.6580320896965048E-2</v>
      </c>
      <c r="M28">
        <v>3.1064945150956147E-2</v>
      </c>
    </row>
    <row r="29" spans="1:30" x14ac:dyDescent="0.25">
      <c r="A29" s="154" t="s">
        <v>245</v>
      </c>
      <c r="B29" t="s">
        <v>46</v>
      </c>
      <c r="C29" t="s">
        <v>22</v>
      </c>
      <c r="D29" s="21">
        <v>4.2835336767792276E-2</v>
      </c>
      <c r="E29" s="5">
        <v>5.277858037176153E-2</v>
      </c>
      <c r="I29" s="121" t="str">
        <v>https://www.insee.fr/fr/statistiques/serie/001796841</v>
      </c>
      <c r="J29" s="121" t="str">
        <v>TP12d</v>
      </c>
      <c r="K29" s="22" t="str">
        <v>Réseaux de communication en fibre optique</v>
      </c>
      <c r="L29" s="22">
        <v>2.1133525456292102E-2</v>
      </c>
      <c r="M29">
        <v>2.4973483752772196E-2</v>
      </c>
    </row>
    <row r="31" spans="1:30" x14ac:dyDescent="0.25">
      <c r="B31" s="121"/>
      <c r="C31" s="121" t="str">
        <f>'A MODIFIER'!A10</f>
        <v>*/2021</v>
      </c>
      <c r="D31" s="6">
        <f>('CUMULS INDEX'!B20/'CUMULS INDEX'!B36)-1</f>
        <v>0.10459233313874305</v>
      </c>
      <c r="E31" s="6">
        <f>('CUMULS INDEX'!C20/'CUMULS INDEX'!C36)-1</f>
        <v>8.3240740740740726E-2</v>
      </c>
      <c r="F31" s="6">
        <f>('CUMULS INDEX'!D20/'CUMULS INDEX'!D36)-1</f>
        <v>8.1769701757850921E-2</v>
      </c>
      <c r="G31" s="6">
        <f>('CUMULS INDEX'!E20/'CUMULS INDEX'!E36)-1</f>
        <v>9.1720779220779258E-2</v>
      </c>
      <c r="H31" s="6">
        <f>('CUMULS INDEX'!F20/'CUMULS INDEX'!F36)-1</f>
        <v>0.10705849003118195</v>
      </c>
      <c r="I31" s="6">
        <f>('CUMULS INDEX'!G20/'CUMULS INDEX'!G36)-1</f>
        <v>7.9362047559927484E-2</v>
      </c>
      <c r="J31" s="6">
        <f>('CUMULS INDEX'!H20/'CUMULS INDEX'!H36)-1</f>
        <v>7.8682875466640878E-2</v>
      </c>
      <c r="K31" s="6">
        <f>('CUMULS INDEX'!I20/'CUMULS INDEX'!I36)-1</f>
        <v>0.17909135319980463</v>
      </c>
      <c r="L31" s="6">
        <f>('CUMULS INDEX'!J20/'CUMULS INDEX'!J36)-1</f>
        <v>8.6146095717884341E-2</v>
      </c>
      <c r="M31" s="6">
        <f>('CUMULS INDEX'!K20/'CUMULS INDEX'!K36)-1</f>
        <v>0.25269312218027817</v>
      </c>
      <c r="N31" s="6">
        <f>('CUMULS INDEX'!L20/'CUMULS INDEX'!L36)-1</f>
        <v>0.13152421511339996</v>
      </c>
      <c r="O31" s="6">
        <f>('CUMULS INDEX'!M20/'CUMULS INDEX'!M36)-1</f>
        <v>0.23414877683474788</v>
      </c>
      <c r="P31" s="6">
        <f>('CUMULS INDEX'!N20/'CUMULS INDEX'!N36)-1</f>
        <v>7.5738376060044965E-2</v>
      </c>
      <c r="Q31" s="6">
        <f>('CUMULS INDEX'!O20/'CUMULS INDEX'!O36)-1</f>
        <v>4.7582428145726885E-2</v>
      </c>
      <c r="R31" s="6">
        <f>('CUMULS INDEX'!P20/'CUMULS INDEX'!P36)-1</f>
        <v>0.12891599667313547</v>
      </c>
      <c r="S31" s="6">
        <f>('CUMULS INDEX'!Q20/'CUMULS INDEX'!Q36)-1</f>
        <v>9.263050153531216E-2</v>
      </c>
      <c r="T31" s="6">
        <f>('CUMULS INDEX'!R20/'CUMULS INDEX'!R36)-1</f>
        <v>0.13733333333333309</v>
      </c>
      <c r="U31" s="6">
        <f>('CUMULS INDEX'!S20/'CUMULS INDEX'!S36)-1</f>
        <v>6.3763909046927747E-2</v>
      </c>
      <c r="V31" s="6">
        <f>('CUMULS INDEX'!T20/'CUMULS INDEX'!T36)-1</f>
        <v>0.10822424302987899</v>
      </c>
      <c r="W31" s="6">
        <f>('CUMULS INDEX'!U20/'CUMULS INDEX'!U36)-1</f>
        <v>2.6580320896965048E-2</v>
      </c>
      <c r="X31" s="6">
        <f>('CUMULS INDEX'!V20/'CUMULS INDEX'!V36)-1</f>
        <v>2.1133525456292102E-2</v>
      </c>
      <c r="Y31" s="6">
        <f>('CUMULS INDEX'!W20/'CUMULS INDEX'!W36)-1</f>
        <v>0.15359357898577142</v>
      </c>
      <c r="Z31" s="6">
        <f>('CUMULS INDEX'!X20/'CUMULS INDEX'!X36)-1</f>
        <v>4.2835336767792276E-2</v>
      </c>
      <c r="AA31" s="6"/>
      <c r="AB31" s="6"/>
      <c r="AC31" s="6"/>
      <c r="AD31" s="6"/>
    </row>
    <row r="32" spans="1:30" x14ac:dyDescent="0.25">
      <c r="B32" s="121"/>
      <c r="C32" s="121" t="str">
        <f>'A MODIFIER'!A9</f>
        <v>*/2020</v>
      </c>
      <c r="D32" s="6">
        <f>('CUMULS INDEX'!B20/'CUMULS INDEX'!B52)-1</f>
        <v>0.14642027668383295</v>
      </c>
      <c r="E32" s="6">
        <f>('CUMULS INDEX'!C20/'CUMULS INDEX'!C52)-1</f>
        <v>0.13759237650719558</v>
      </c>
      <c r="F32" s="6">
        <f>('CUMULS INDEX'!D20/'CUMULS INDEX'!D52)-1</f>
        <v>0.10926582278481001</v>
      </c>
      <c r="G32" s="6">
        <f>('CUMULS INDEX'!E20/'CUMULS INDEX'!E52)-1</f>
        <v>0.10962153243271122</v>
      </c>
      <c r="H32" s="6">
        <f>('CUMULS INDEX'!F20/'CUMULS INDEX'!F52)-1</f>
        <v>0.17701426562186051</v>
      </c>
      <c r="I32" s="6">
        <f>('CUMULS INDEX'!G20/'CUMULS INDEX'!G52)-1</f>
        <v>0.12524890481879747</v>
      </c>
      <c r="J32" s="6">
        <f>('CUMULS INDEX'!H20/'CUMULS INDEX'!H52)-1</f>
        <v>0.1238655629799541</v>
      </c>
      <c r="K32" s="6">
        <f>('CUMULS INDEX'!I20/'CUMULS INDEX'!I52)-1</f>
        <v>0.25878794200479804</v>
      </c>
      <c r="L32" s="6">
        <f>('CUMULS INDEX'!J20/'CUMULS INDEX'!J52)-1</f>
        <v>0.11559557073372662</v>
      </c>
      <c r="M32" s="6">
        <f>('CUMULS INDEX'!K20/'CUMULS INDEX'!K52)-1</f>
        <v>0.50786877978499367</v>
      </c>
      <c r="N32" s="6">
        <f>('CUMULS INDEX'!L20/'CUMULS INDEX'!L52)-1</f>
        <v>0.17408282807522357</v>
      </c>
      <c r="O32" s="6">
        <f>('CUMULS INDEX'!M20/'CUMULS INDEX'!M52)-1</f>
        <v>0.31559340074507714</v>
      </c>
      <c r="P32" s="6">
        <f>('CUMULS INDEX'!N20/'CUMULS INDEX'!N52)-1</f>
        <v>0.10570083158000232</v>
      </c>
      <c r="Q32" s="6">
        <f>('CUMULS INDEX'!O20/'CUMULS INDEX'!O52)-1</f>
        <v>6.9165113313057969E-2</v>
      </c>
      <c r="R32" s="6">
        <f>('CUMULS INDEX'!P20/'CUMULS INDEX'!P52)-1</f>
        <v>0.25446703635243395</v>
      </c>
      <c r="S32" s="6">
        <f>('CUMULS INDEX'!Q20/'CUMULS INDEX'!Q52)-1</f>
        <v>0.12748204478242497</v>
      </c>
      <c r="T32" s="6">
        <f>('CUMULS INDEX'!R20/'CUMULS INDEX'!R52)-1</f>
        <v>0.17842720510095633</v>
      </c>
      <c r="U32" s="6">
        <f>('CUMULS INDEX'!S20/'CUMULS INDEX'!S52)-1</f>
        <v>8.8407088407088219E-2</v>
      </c>
      <c r="V32" s="6">
        <f>('CUMULS INDEX'!T20/'CUMULS INDEX'!T52)-1</f>
        <v>0.14118131302737202</v>
      </c>
      <c r="W32" s="6">
        <f>('CUMULS INDEX'!U20/'CUMULS INDEX'!U52)-1</f>
        <v>3.1064945150956147E-2</v>
      </c>
      <c r="X32" s="6">
        <f>('CUMULS INDEX'!V20/'CUMULS INDEX'!V52)-1</f>
        <v>2.4973483752772196E-2</v>
      </c>
      <c r="Y32" s="6">
        <f>('CUMULS INDEX'!W20/'CUMULS INDEX'!W52)-1</f>
        <v>0.27051732797589167</v>
      </c>
      <c r="Z32" s="6">
        <f>('CUMULS INDEX'!X20/'CUMULS INDEX'!X52)-1</f>
        <v>5.277858037176153E-2</v>
      </c>
    </row>
    <row r="33" spans="1:26" s="121" customFormat="1" x14ac:dyDescent="0.25">
      <c r="D33" s="6"/>
      <c r="E33" s="6"/>
      <c r="F33" s="6"/>
      <c r="G33" s="6"/>
      <c r="H33" s="6"/>
      <c r="I33" s="6"/>
      <c r="J33" s="6"/>
      <c r="K33" s="6"/>
      <c r="L33" s="6"/>
      <c r="M33" s="6"/>
      <c r="N33" s="6"/>
      <c r="O33" s="6"/>
      <c r="P33" s="6"/>
      <c r="Q33" s="6"/>
      <c r="R33" s="6"/>
      <c r="S33" s="6"/>
      <c r="T33" s="6"/>
      <c r="U33" s="6"/>
      <c r="V33" s="6"/>
      <c r="W33" s="6"/>
      <c r="X33" s="6"/>
      <c r="Y33" s="6"/>
      <c r="Z33" s="6"/>
    </row>
    <row r="34" spans="1:26" ht="21" x14ac:dyDescent="0.25">
      <c r="B34" s="253" t="s">
        <v>205</v>
      </c>
      <c r="C34" s="254"/>
      <c r="D34" s="254"/>
      <c r="E34" s="254"/>
      <c r="F34" s="254"/>
      <c r="G34" s="254"/>
      <c r="H34" s="254"/>
      <c r="I34" s="254"/>
      <c r="J34" s="254"/>
      <c r="K34" s="254"/>
      <c r="L34" s="254"/>
      <c r="M34" s="254"/>
    </row>
    <row r="35" spans="1:26" x14ac:dyDescent="0.25">
      <c r="I35" t="str" cm="1">
        <f t="array" ref="I35:I36">'A MODIFIER'!A5:A6</f>
        <v>*/2021 = Cumul janv 2022-sept 2022 / Cumul janv 2021-sept 2021</v>
      </c>
    </row>
    <row r="36" spans="1:26" ht="15.75" x14ac:dyDescent="0.25">
      <c r="A36" s="187"/>
      <c r="B36" s="187"/>
      <c r="C36" s="187"/>
      <c r="I36" t="str">
        <v>*/2020 = Cumul janv 2022-sept 2022 / Cumul janv 2020-sept 2020</v>
      </c>
    </row>
    <row r="37" spans="1:26" s="121" customFormat="1" x14ac:dyDescent="0.25"/>
    <row r="38" spans="1:26" x14ac:dyDescent="0.25">
      <c r="B38" s="252" t="s">
        <v>208</v>
      </c>
      <c r="C38" s="252"/>
      <c r="D38" s="252"/>
      <c r="E38" s="252"/>
      <c r="J38" s="252" t="s">
        <v>209</v>
      </c>
      <c r="K38" s="252"/>
      <c r="L38" s="252"/>
      <c r="M38" s="252"/>
    </row>
    <row r="39" spans="1:26" x14ac:dyDescent="0.25">
      <c r="D39" t="str">
        <f>'A MODIFIER'!A10</f>
        <v>*/2021</v>
      </c>
      <c r="E39" t="str">
        <f>'A MODIFIER'!A9</f>
        <v>*/2020</v>
      </c>
      <c r="L39" t="str">
        <f>'A MODIFIER'!A10</f>
        <v>*/2021</v>
      </c>
      <c r="M39" s="121" t="str">
        <f>'A MODIFIER'!A9</f>
        <v>*/2020</v>
      </c>
    </row>
    <row r="40" spans="1:26" x14ac:dyDescent="0.25">
      <c r="A40" s="39" t="s">
        <v>96</v>
      </c>
      <c r="B40" t="s">
        <v>56</v>
      </c>
      <c r="C40" s="181" t="s">
        <v>134</v>
      </c>
      <c r="D40" s="182" cm="1">
        <f t="array" ref="D40:D80">TRANSPOSE(D82:AR82)</f>
        <v>6.106791083462948E-2</v>
      </c>
      <c r="E40" s="5" cm="1">
        <f t="array" ref="E40:E80">TRANSPOSE(D83:AR83)</f>
        <v>9.0231170768083624E-2</v>
      </c>
      <c r="I40" t="str" cm="1">
        <f t="array" ref="I40:M80">_xlfn._xlws.SORT(A40:E80,4,-1,FALSE)</f>
        <v>https://www.fntp.fr/sites/default/files/content/indice_fioul_lourd.pdf</v>
      </c>
      <c r="J40" t="str">
        <v>010534776</v>
      </c>
      <c r="K40" t="str">
        <v>Gaz naturel</v>
      </c>
      <c r="L40" s="5">
        <v>3.41726075652101</v>
      </c>
      <c r="M40" s="5">
        <v>13.907161052929522</v>
      </c>
    </row>
    <row r="41" spans="1:26" x14ac:dyDescent="0.25">
      <c r="A41" s="39" t="s">
        <v>97</v>
      </c>
      <c r="B41" t="s">
        <v>57</v>
      </c>
      <c r="C41" t="s">
        <v>135</v>
      </c>
      <c r="D41" s="182">
        <v>3.5262206148283237E-3</v>
      </c>
      <c r="E41" s="5">
        <v>-2.785265049415897E-3</v>
      </c>
      <c r="I41" t="str">
        <v>https://www.fntp.fr/sites/default/files/content/indice_gazole_htt.pdf</v>
      </c>
      <c r="J41" t="str">
        <v>Gazole routier HTT</v>
      </c>
      <c r="K41" t="str">
        <v>Gazole routier HTT</v>
      </c>
      <c r="L41" s="5">
        <v>0.67861438811862906</v>
      </c>
      <c r="M41" s="5">
        <v>1.2356522298301886</v>
      </c>
    </row>
    <row r="42" spans="1:26" x14ac:dyDescent="0.25">
      <c r="A42" s="39" t="s">
        <v>98</v>
      </c>
      <c r="B42" t="s">
        <v>58</v>
      </c>
      <c r="C42" t="s">
        <v>136</v>
      </c>
      <c r="D42" s="182">
        <v>1.2337896253602043E-2</v>
      </c>
      <c r="E42" s="5">
        <v>2.9584172925444241E-2</v>
      </c>
      <c r="I42" t="str">
        <v>https://www.insee.fr/fr/statistiques/serie/010758171#Tableau</v>
      </c>
      <c r="J42" t="str">
        <v>010758171</v>
      </c>
      <c r="K42" t="str">
        <v>GNR</v>
      </c>
      <c r="L42" s="5">
        <v>0.56175489439496218</v>
      </c>
      <c r="M42" s="5">
        <v>0.83458129028007733</v>
      </c>
    </row>
    <row r="43" spans="1:26" x14ac:dyDescent="0.25">
      <c r="A43" s="37" t="s">
        <v>279</v>
      </c>
      <c r="B43" s="94" t="s">
        <v>280</v>
      </c>
      <c r="C43" t="s">
        <v>137</v>
      </c>
      <c r="D43" s="182">
        <v>0.56175489439496218</v>
      </c>
      <c r="E43" s="5">
        <v>0.83458129028007733</v>
      </c>
      <c r="I43" t="str">
        <v>https://www.insee.fr/fr/statistiques/serie/010536462</v>
      </c>
      <c r="J43" t="str">
        <v>010536462</v>
      </c>
      <c r="K43" t="str">
        <v>Acier pour la construction</v>
      </c>
      <c r="L43" s="5">
        <v>0.49281822684497301</v>
      </c>
      <c r="M43" s="5">
        <v>1.153736218864843</v>
      </c>
    </row>
    <row r="44" spans="1:26" x14ac:dyDescent="0.25">
      <c r="A44" s="39" t="s">
        <v>99</v>
      </c>
      <c r="B44" t="s">
        <v>59</v>
      </c>
      <c r="C44" t="s">
        <v>138</v>
      </c>
      <c r="D44" s="182">
        <v>0.32894112833483691</v>
      </c>
      <c r="E44" s="5">
        <v>0.44251655361757103</v>
      </c>
      <c r="G44" s="6"/>
      <c r="I44" t="str">
        <v>https://www.insee.fr/fr/statistiques/serie/010534598</v>
      </c>
      <c r="J44" t="str">
        <v>010534598</v>
      </c>
      <c r="K44" t="str">
        <v>Bitume</v>
      </c>
      <c r="L44" s="5">
        <v>0.44992186390112221</v>
      </c>
      <c r="M44" s="5">
        <v>0.67311475409836063</v>
      </c>
    </row>
    <row r="45" spans="1:26" x14ac:dyDescent="0.25">
      <c r="A45" s="39" t="s">
        <v>100</v>
      </c>
      <c r="B45" t="s">
        <v>60</v>
      </c>
      <c r="C45" t="s">
        <v>139</v>
      </c>
      <c r="D45" s="182">
        <v>5.7224758466928316E-2</v>
      </c>
      <c r="E45" s="5">
        <v>6.7882037533511852E-2</v>
      </c>
      <c r="I45" t="str">
        <v>https://www.insee.fr/fr/statistiques/serie/010546545</v>
      </c>
      <c r="J45" t="str">
        <v>010546545</v>
      </c>
      <c r="K45" t="str">
        <v>Barres crénelées ou nervurées pour béton armé</v>
      </c>
      <c r="L45" s="5">
        <v>0.43733296786130316</v>
      </c>
      <c r="M45" s="5">
        <v>1.1071930882057464</v>
      </c>
    </row>
    <row r="46" spans="1:26" x14ac:dyDescent="0.25">
      <c r="A46" s="39" t="s">
        <v>101</v>
      </c>
      <c r="B46" t="s">
        <v>61</v>
      </c>
      <c r="C46" t="s">
        <v>140</v>
      </c>
      <c r="D46" s="182">
        <v>4.2897612302711607E-2</v>
      </c>
      <c r="E46" s="5">
        <v>4.4906234161176117E-2</v>
      </c>
      <c r="I46" t="str">
        <v>https://www.insee.fr/fr/statistiques/serie/010534267</v>
      </c>
      <c r="J46" t="str">
        <v>010534267</v>
      </c>
      <c r="K46" t="str">
        <v>Produits sidérurgiques en acier non allié</v>
      </c>
      <c r="L46" s="5">
        <v>0.40667449270501455</v>
      </c>
      <c r="M46" s="5">
        <v>0.75996642887117116</v>
      </c>
    </row>
    <row r="47" spans="1:26" x14ac:dyDescent="0.25">
      <c r="A47" s="39" t="s">
        <v>102</v>
      </c>
      <c r="B47" t="s">
        <v>62</v>
      </c>
      <c r="C47" t="s">
        <v>141</v>
      </c>
      <c r="D47" s="182">
        <v>0.14841341795104257</v>
      </c>
      <c r="E47" s="5">
        <v>0.19635436343029844</v>
      </c>
      <c r="I47" t="str">
        <v>https://www.insee.fr/fr/statistiques/serie/010534613</v>
      </c>
      <c r="J47" t="str">
        <v>010534613</v>
      </c>
      <c r="K47" t="str">
        <v>Autres produits chimiques</v>
      </c>
      <c r="L47" s="5">
        <v>0.36238990284209627</v>
      </c>
      <c r="M47" s="5">
        <v>0.49695699890252465</v>
      </c>
    </row>
    <row r="48" spans="1:26" x14ac:dyDescent="0.25">
      <c r="A48" s="39" t="s">
        <v>103</v>
      </c>
      <c r="B48" s="221" t="s">
        <v>296</v>
      </c>
      <c r="C48" t="s">
        <v>294</v>
      </c>
      <c r="D48" s="182">
        <v>3.41726075652101</v>
      </c>
      <c r="E48" s="5">
        <v>13.907161052929522</v>
      </c>
      <c r="I48" t="str">
        <v>https://www.insee.fr/fr/statistiques/serie/001764283</v>
      </c>
      <c r="J48" t="str">
        <v>001764283</v>
      </c>
      <c r="K48" t="str">
        <v>Gazole</v>
      </c>
      <c r="L48" s="5">
        <v>0.32894112833483691</v>
      </c>
      <c r="M48" s="5">
        <v>0.44251655361757103</v>
      </c>
    </row>
    <row r="49" spans="1:13" x14ac:dyDescent="0.25">
      <c r="A49" s="39" t="s">
        <v>104</v>
      </c>
      <c r="B49" t="s">
        <v>64</v>
      </c>
      <c r="C49" t="s">
        <v>64</v>
      </c>
      <c r="D49" s="182">
        <v>0.67861438811862906</v>
      </c>
      <c r="E49" s="5">
        <v>1.2356522298301886</v>
      </c>
      <c r="I49" t="str">
        <v>https://www.insee.fr/fr/statistiques/serie/010534606</v>
      </c>
      <c r="J49" t="str">
        <v>010534606</v>
      </c>
      <c r="K49" t="str">
        <v>Matières plastiques sous formes primaires</v>
      </c>
      <c r="L49" s="5">
        <v>0.30385684503127175</v>
      </c>
      <c r="M49" s="5">
        <v>0.82959531935641162</v>
      </c>
    </row>
    <row r="50" spans="1:13" x14ac:dyDescent="0.25">
      <c r="A50" s="39" t="s">
        <v>105</v>
      </c>
      <c r="B50" t="s">
        <v>65</v>
      </c>
      <c r="C50" t="s">
        <v>142</v>
      </c>
      <c r="D50" s="182">
        <v>0.19917554795897852</v>
      </c>
      <c r="E50" s="5">
        <v>0.32536948549838884</v>
      </c>
      <c r="I50" t="str">
        <v>https://www.insee.fr/fr/statistiques/serie/010536480</v>
      </c>
      <c r="J50" t="str">
        <v>010536480</v>
      </c>
      <c r="K50" t="str">
        <v>Tôles quarto et autres produits plats en aciers non alliés de qualité</v>
      </c>
      <c r="L50" s="5">
        <v>0.28805031446540896</v>
      </c>
      <c r="M50" s="5">
        <v>0.98017887357988864</v>
      </c>
    </row>
    <row r="51" spans="1:13" x14ac:dyDescent="0.25">
      <c r="A51" s="39" t="s">
        <v>106</v>
      </c>
      <c r="B51" t="s">
        <v>66</v>
      </c>
      <c r="C51" t="s">
        <v>143</v>
      </c>
      <c r="D51" s="182">
        <v>0.26293333333333324</v>
      </c>
      <c r="E51" s="5">
        <v>0.47830610758505898</v>
      </c>
      <c r="I51" t="str">
        <v>https://www.insee.fr/fr/statistiques/serie/010534654</v>
      </c>
      <c r="J51" t="str">
        <v>010534654</v>
      </c>
      <c r="K51" t="str">
        <v>Tubes, tuyaux, profilés creux et accessoires correspondants en acier</v>
      </c>
      <c r="L51" s="5">
        <v>0.26648324653630762</v>
      </c>
      <c r="M51" s="5">
        <v>0.36189771766694845</v>
      </c>
    </row>
    <row r="52" spans="1:13" x14ac:dyDescent="0.25">
      <c r="A52" s="39" t="s">
        <v>107</v>
      </c>
      <c r="B52" t="s">
        <v>67</v>
      </c>
      <c r="C52" t="s">
        <v>144</v>
      </c>
      <c r="D52" s="182">
        <v>5.5102467586783721E-2</v>
      </c>
      <c r="E52" s="5">
        <v>7.0776740237691094E-2</v>
      </c>
      <c r="I52" t="str">
        <v>https://www.insee.fr/fr/statistiques/serie/010534575</v>
      </c>
      <c r="J52" t="str">
        <v>010534575</v>
      </c>
      <c r="K52" t="str">
        <v>Ensemble des produits du sciage</v>
      </c>
      <c r="L52" s="5">
        <v>0.26293333333333324</v>
      </c>
      <c r="M52" s="5">
        <v>0.47830610758505898</v>
      </c>
    </row>
    <row r="53" spans="1:13" x14ac:dyDescent="0.25">
      <c r="A53" s="39" t="s">
        <v>108</v>
      </c>
      <c r="B53" t="s">
        <v>68</v>
      </c>
      <c r="C53" t="s">
        <v>145</v>
      </c>
      <c r="D53" s="182">
        <v>0.43733296786130316</v>
      </c>
      <c r="E53" s="5">
        <v>1.1071930882057464</v>
      </c>
      <c r="I53" t="str">
        <v>https://www.insee.fr/fr/statistiques/serie/010534330</v>
      </c>
      <c r="J53" t="str">
        <v>010534330</v>
      </c>
      <c r="K53" t="str">
        <v>Fils et câbles d'énergie</v>
      </c>
      <c r="L53" s="5">
        <v>0.24473788721207312</v>
      </c>
      <c r="M53" s="5">
        <v>0.46374781085814387</v>
      </c>
    </row>
    <row r="54" spans="1:13" x14ac:dyDescent="0.25">
      <c r="A54" s="39" t="s">
        <v>109</v>
      </c>
      <c r="B54" t="s">
        <v>69</v>
      </c>
      <c r="C54" t="s">
        <v>146</v>
      </c>
      <c r="D54" s="182">
        <v>3.8867000319454892E-2</v>
      </c>
      <c r="E54" s="5">
        <v>5.1973258572352687E-2</v>
      </c>
      <c r="I54" t="str">
        <v>https://www.insee.fr/fr/statistiques/serie/010534642</v>
      </c>
      <c r="J54" t="str">
        <v>010534642</v>
      </c>
      <c r="K54" t="str">
        <v>Ciment, chaux et plâtre</v>
      </c>
      <c r="L54" s="5">
        <v>0.22091295116772813</v>
      </c>
      <c r="M54" s="5">
        <v>0.24591051890369386</v>
      </c>
    </row>
    <row r="55" spans="1:13" x14ac:dyDescent="0.25">
      <c r="A55" s="39" t="s">
        <v>110</v>
      </c>
      <c r="B55" t="s">
        <v>70</v>
      </c>
      <c r="C55" t="s">
        <v>147</v>
      </c>
      <c r="D55" s="182">
        <v>0.21830985915492973</v>
      </c>
      <c r="E55" s="5">
        <v>0.39935290039288196</v>
      </c>
      <c r="I55" t="str">
        <v>https://www.insee.fr/fr/statistiques/serie/010534625</v>
      </c>
      <c r="J55" t="str">
        <v>010534625</v>
      </c>
      <c r="K55" t="str">
        <v>Plaques, feuilles, tubes et profilés en matières plastiques</v>
      </c>
      <c r="L55" s="5">
        <v>0.21830985915492973</v>
      </c>
      <c r="M55" s="5">
        <v>0.39935290039288196</v>
      </c>
    </row>
    <row r="56" spans="1:13" x14ac:dyDescent="0.25">
      <c r="A56" s="39" t="s">
        <v>111</v>
      </c>
      <c r="B56" t="s">
        <v>71</v>
      </c>
      <c r="C56" t="s">
        <v>148</v>
      </c>
      <c r="D56" s="182">
        <v>0.22091295116772813</v>
      </c>
      <c r="E56" s="5">
        <v>0.24591051890369386</v>
      </c>
      <c r="I56" t="str">
        <v>https://www.insee.fr/fr/statistiques/serie/010534662</v>
      </c>
      <c r="J56" t="str">
        <v>010534662</v>
      </c>
      <c r="K56" t="str">
        <v>Travaux de fonderie de fonte</v>
      </c>
      <c r="L56" s="5">
        <v>0.20940219233811708</v>
      </c>
      <c r="M56" s="5">
        <v>0.26381672177609783</v>
      </c>
    </row>
    <row r="57" spans="1:13" x14ac:dyDescent="0.25">
      <c r="A57" s="39" t="s">
        <v>285</v>
      </c>
      <c r="B57" s="94" t="s">
        <v>284</v>
      </c>
      <c r="C57" t="s">
        <v>286</v>
      </c>
      <c r="D57" s="182">
        <v>0.36238990284209627</v>
      </c>
      <c r="E57" s="5">
        <v>0.49695699890252465</v>
      </c>
      <c r="I57" t="str">
        <v>https://www.insee.fr/fr/statistiques/serie/010534180</v>
      </c>
      <c r="J57" t="str">
        <v>010534180</v>
      </c>
      <c r="K57" t="str">
        <v>Peintures Industries</v>
      </c>
      <c r="L57" s="5">
        <v>0.20875984251968482</v>
      </c>
      <c r="M57" s="5">
        <v>0.23290834253588977</v>
      </c>
    </row>
    <row r="58" spans="1:13" x14ac:dyDescent="0.25">
      <c r="A58" s="39" t="s">
        <v>112</v>
      </c>
      <c r="B58" t="s">
        <v>73</v>
      </c>
      <c r="C58" t="s">
        <v>149</v>
      </c>
      <c r="D58" s="182">
        <v>0.49281822684497301</v>
      </c>
      <c r="E58" s="5">
        <v>1.153736218864843</v>
      </c>
      <c r="I58" t="str">
        <v>https://www.insee.fr/fr/statistiques/serie/010534638</v>
      </c>
      <c r="J58" t="str">
        <v>010534638</v>
      </c>
      <c r="K58" t="str">
        <v>Tuiles, briques et produits de construction en terre cuite</v>
      </c>
      <c r="L58" s="5">
        <v>0.20170848905499206</v>
      </c>
      <c r="M58" s="5">
        <v>0.2108887454271573</v>
      </c>
    </row>
    <row r="59" spans="1:13" x14ac:dyDescent="0.25">
      <c r="A59" s="39" t="s">
        <v>113</v>
      </c>
      <c r="B59" t="s">
        <v>74</v>
      </c>
      <c r="C59" t="s">
        <v>150</v>
      </c>
      <c r="D59" s="182">
        <v>0.44992186390112221</v>
      </c>
      <c r="E59" s="5">
        <v>0.67311475409836063</v>
      </c>
      <c r="G59" s="224"/>
      <c r="I59" t="str">
        <v>https://www.insee.fr/fr/statistiques/serie/010534207</v>
      </c>
      <c r="J59" t="str">
        <v>010534207</v>
      </c>
      <c r="K59" t="str">
        <v>Tubes, tuyaux en matière plastique</v>
      </c>
      <c r="L59" s="5">
        <v>0.19917554795897852</v>
      </c>
      <c r="M59" s="5">
        <v>0.32536948549838884</v>
      </c>
    </row>
    <row r="60" spans="1:13" x14ac:dyDescent="0.25">
      <c r="A60" s="39" t="s">
        <v>114</v>
      </c>
      <c r="B60" t="s">
        <v>75</v>
      </c>
      <c r="C60" t="s">
        <v>151</v>
      </c>
      <c r="D60" s="182">
        <v>0.10338826901422848</v>
      </c>
      <c r="E60" s="5">
        <v>0.14511845320301697</v>
      </c>
      <c r="I60" t="str">
        <v>https://www.insee.fr/fr/statistiques/serie/010534667</v>
      </c>
      <c r="J60" t="str">
        <v>010534667</v>
      </c>
      <c r="K60" t="str">
        <v>Éléments en métal pour la construction</v>
      </c>
      <c r="L60" s="5">
        <v>0.14867873390765673</v>
      </c>
      <c r="M60" s="5">
        <v>0.20845213849287192</v>
      </c>
    </row>
    <row r="61" spans="1:13" x14ac:dyDescent="0.25">
      <c r="A61" s="39" t="s">
        <v>115</v>
      </c>
      <c r="B61" t="s">
        <v>76</v>
      </c>
      <c r="C61" t="s">
        <v>152</v>
      </c>
      <c r="D61" s="182">
        <v>6.8490153172866552E-2</v>
      </c>
      <c r="E61" s="5">
        <v>7.6973974415527113E-2</v>
      </c>
      <c r="I61" t="str">
        <v>https://www.insee.fr/fr/statistiques/serie/010534769</v>
      </c>
      <c r="J61" t="str">
        <v>010534769</v>
      </c>
      <c r="K61" t="str">
        <v>Électricité vendue aux entreprises consommatrices finales</v>
      </c>
      <c r="L61" s="5">
        <v>0.14841341795104257</v>
      </c>
      <c r="M61" s="5">
        <v>0.19635436343029844</v>
      </c>
    </row>
    <row r="62" spans="1:13" x14ac:dyDescent="0.25">
      <c r="A62" s="39" t="s">
        <v>116</v>
      </c>
      <c r="B62" t="s">
        <v>77</v>
      </c>
      <c r="C62" t="s">
        <v>153</v>
      </c>
      <c r="D62" s="182">
        <v>0.20940219233811708</v>
      </c>
      <c r="E62" s="5">
        <v>0.26381672177609783</v>
      </c>
      <c r="I62" t="str">
        <v>https://www.insee.fr/fr/statistiques/serie/010534784</v>
      </c>
      <c r="J62" t="str">
        <v>010534784</v>
      </c>
      <c r="K62" t="str">
        <v>Collecte, traitement et élimination des déchets ; récupération de matériaux</v>
      </c>
      <c r="L62" s="5">
        <v>0.13794713738675646</v>
      </c>
      <c r="M62" s="5">
        <v>0.359063022866704</v>
      </c>
    </row>
    <row r="63" spans="1:13" x14ac:dyDescent="0.25">
      <c r="A63" s="39" t="s">
        <v>117</v>
      </c>
      <c r="B63" t="s">
        <v>78</v>
      </c>
      <c r="C63" t="s">
        <v>154</v>
      </c>
      <c r="D63" s="182">
        <v>0.20170848905499206</v>
      </c>
      <c r="E63" s="5">
        <v>0.2108887454271573</v>
      </c>
      <c r="I63" t="str">
        <v>https://www.insee.fr/fr/statistiques/serie/010534645</v>
      </c>
      <c r="J63" t="str">
        <v>010534645</v>
      </c>
      <c r="K63" t="str">
        <v>Éléments en béton pour la construction</v>
      </c>
      <c r="L63" s="5">
        <v>0.1052910613932776</v>
      </c>
      <c r="M63" s="5">
        <v>0.1206192216727584</v>
      </c>
    </row>
    <row r="64" spans="1:13" x14ac:dyDescent="0.25">
      <c r="A64" s="39" t="s">
        <v>299</v>
      </c>
      <c r="B64" s="228" t="s">
        <v>300</v>
      </c>
      <c r="C64" s="224" t="s">
        <v>298</v>
      </c>
      <c r="D64" s="182">
        <v>8.5368863380137272E-2</v>
      </c>
      <c r="E64" s="5">
        <v>0.14091187244128411</v>
      </c>
      <c r="I64" t="str">
        <v>https://www.insee.fr/fr/statistiques/serie/010534252</v>
      </c>
      <c r="J64" t="str">
        <v>010534252</v>
      </c>
      <c r="K64" t="str">
        <v>Produits de voierie en béton</v>
      </c>
      <c r="L64" s="5">
        <v>0.10338826901422848</v>
      </c>
      <c r="M64" s="5">
        <v>0.14511845320301697</v>
      </c>
    </row>
    <row r="65" spans="1:13" x14ac:dyDescent="0.25">
      <c r="A65" s="39" t="s">
        <v>289</v>
      </c>
      <c r="B65" s="94" t="s">
        <v>290</v>
      </c>
      <c r="C65" t="s">
        <v>291</v>
      </c>
      <c r="D65" s="182">
        <v>7.4293900941465374E-2</v>
      </c>
      <c r="E65" s="5">
        <v>9.880678249947672E-2</v>
      </c>
      <c r="I65" t="str">
        <v>https://www.insee.fr/fr/statistiques/serie/010534696</v>
      </c>
      <c r="J65" t="str">
        <v>010534696</v>
      </c>
      <c r="K65" t="str">
        <v>Moteurs, génératrices, transfo. électr., matér. distrib., cmde électr.</v>
      </c>
      <c r="L65" s="5">
        <v>8.8900634249471366E-2</v>
      </c>
      <c r="M65" s="5">
        <v>0.1045464293373366</v>
      </c>
    </row>
    <row r="66" spans="1:13" x14ac:dyDescent="0.25">
      <c r="A66" s="39" t="s">
        <v>119</v>
      </c>
      <c r="B66" t="s">
        <v>81</v>
      </c>
      <c r="C66" t="s">
        <v>156</v>
      </c>
      <c r="D66" s="182">
        <v>0.30385684503127175</v>
      </c>
      <c r="E66" s="5">
        <v>0.82959531935641162</v>
      </c>
      <c r="I66" t="str">
        <v>https://www.insee.fr/fr/statistiques/serie/010534698</v>
      </c>
      <c r="J66" t="str">
        <v>010534698</v>
      </c>
      <c r="K66" t="str">
        <v>Matériel de distribution et de commande électrique</v>
      </c>
      <c r="L66" s="5">
        <v>8.7262417305471018E-2</v>
      </c>
      <c r="M66" s="5">
        <v>0.11369258900720691</v>
      </c>
    </row>
    <row r="67" spans="1:13" x14ac:dyDescent="0.25">
      <c r="A67" s="39" t="s">
        <v>120</v>
      </c>
      <c r="B67" t="s">
        <v>82</v>
      </c>
      <c r="C67" t="s">
        <v>157</v>
      </c>
      <c r="D67" s="182">
        <v>0.26648324653630762</v>
      </c>
      <c r="E67" s="5">
        <v>0.36189771766694845</v>
      </c>
      <c r="I67" t="str">
        <v>https://www.insee.fr/fr/statistiques/serie/010760506</v>
      </c>
      <c r="J67" t="str">
        <v>010760506</v>
      </c>
      <c r="K67" t="str">
        <v>Réseaux d’assainissement</v>
      </c>
      <c r="L67" s="5">
        <v>8.5368863380137272E-2</v>
      </c>
      <c r="M67" s="5">
        <v>0.14091187244128411</v>
      </c>
    </row>
    <row r="68" spans="1:13" x14ac:dyDescent="0.25">
      <c r="A68" s="39" t="s">
        <v>121</v>
      </c>
      <c r="B68" t="s">
        <v>83</v>
      </c>
      <c r="C68" t="s">
        <v>158</v>
      </c>
      <c r="D68" s="182">
        <v>0.1052910613932776</v>
      </c>
      <c r="E68" s="5">
        <v>0.1206192216727584</v>
      </c>
      <c r="I68" t="str">
        <v>https://www.insee.fr/fr/statistiques/serie/010534789</v>
      </c>
      <c r="J68" t="str">
        <v>010534789</v>
      </c>
      <c r="K68" t="str">
        <v>Traitement et élimination des déchets non dangereux</v>
      </c>
      <c r="L68" s="5">
        <v>7.5806147463699958E-2</v>
      </c>
      <c r="M68" s="5">
        <v>0.12992671816201229</v>
      </c>
    </row>
    <row r="69" spans="1:13" x14ac:dyDescent="0.25">
      <c r="A69" s="39" t="s">
        <v>122</v>
      </c>
      <c r="B69" t="s">
        <v>84</v>
      </c>
      <c r="C69" t="s">
        <v>159</v>
      </c>
      <c r="D69" s="182">
        <v>0.24473788721207312</v>
      </c>
      <c r="E69" s="5">
        <v>0.46374781085814387</v>
      </c>
      <c r="I69" t="str">
        <v>https://www.insee.fr/fr/statistiques/serie/010534554</v>
      </c>
      <c r="J69" t="str">
        <v>010534554</v>
      </c>
      <c r="K69" t="str">
        <v>Autres textiles</v>
      </c>
      <c r="L69" s="5">
        <v>7.4293900941465374E-2</v>
      </c>
      <c r="M69" s="5">
        <v>9.880678249947672E-2</v>
      </c>
    </row>
    <row r="70" spans="1:13" x14ac:dyDescent="0.25">
      <c r="A70" s="39" t="s">
        <v>123</v>
      </c>
      <c r="B70" t="s">
        <v>85</v>
      </c>
      <c r="C70" t="s">
        <v>160</v>
      </c>
      <c r="D70" s="182">
        <v>8.8900634249471366E-2</v>
      </c>
      <c r="E70" s="5">
        <v>0.1045464293373366</v>
      </c>
      <c r="I70" t="str">
        <v>https://www.insee.fr/fr/statistiques/serie/010534647</v>
      </c>
      <c r="J70" t="str">
        <v>010534647</v>
      </c>
      <c r="K70" t="str">
        <v>Mortiers et bétons secs</v>
      </c>
      <c r="L70" s="5">
        <v>6.8490153172866552E-2</v>
      </c>
      <c r="M70" s="5">
        <v>7.6973974415527113E-2</v>
      </c>
    </row>
    <row r="71" spans="1:13" x14ac:dyDescent="0.25">
      <c r="A71" s="39" t="s">
        <v>124</v>
      </c>
      <c r="B71" t="s">
        <v>86</v>
      </c>
      <c r="C71" t="s">
        <v>161</v>
      </c>
      <c r="D71" s="182">
        <v>8.7262417305471018E-2</v>
      </c>
      <c r="E71" s="5">
        <v>0.11369258900720691</v>
      </c>
      <c r="I71" t="str">
        <v>https://www.insee.fr/fr/statistiques/serie/001711009</v>
      </c>
      <c r="J71" t="str">
        <v>001711009</v>
      </c>
      <c r="K71" t="str">
        <v>Matériel</v>
      </c>
      <c r="L71" s="5">
        <v>6.106791083462948E-2</v>
      </c>
      <c r="M71" s="5">
        <v>9.0231170768083624E-2</v>
      </c>
    </row>
    <row r="72" spans="1:13" x14ac:dyDescent="0.25">
      <c r="A72" s="39" t="s">
        <v>125</v>
      </c>
      <c r="B72" t="s">
        <v>87</v>
      </c>
      <c r="C72" t="s">
        <v>162</v>
      </c>
      <c r="D72" s="182">
        <v>3.5718374356038751E-2</v>
      </c>
      <c r="E72" s="5">
        <v>3.3116364051615665E-2</v>
      </c>
      <c r="I72" t="str">
        <v>https://www.insee.fr/fr/statistiques/serie/001711011</v>
      </c>
      <c r="J72" t="str">
        <v>001711011</v>
      </c>
      <c r="K72" t="str">
        <v>Frais divers</v>
      </c>
      <c r="L72" s="5">
        <v>5.7224758466928316E-2</v>
      </c>
      <c r="M72" s="5">
        <v>6.7882037533511852E-2</v>
      </c>
    </row>
    <row r="73" spans="1:13" x14ac:dyDescent="0.25">
      <c r="A73" s="39" t="s">
        <v>126</v>
      </c>
      <c r="B73" t="s">
        <v>88</v>
      </c>
      <c r="C73" t="s">
        <v>163</v>
      </c>
      <c r="D73" s="182">
        <v>-1.0704345964461792E-3</v>
      </c>
      <c r="E73" s="5">
        <v>-2.7916666666666701E-2</v>
      </c>
      <c r="I73" t="str">
        <v>https://www.insee.fr/fr/statistiques/serie/010534646</v>
      </c>
      <c r="J73" t="str">
        <v>010534646</v>
      </c>
      <c r="K73" t="str">
        <v>Béton prêt à l'emploi</v>
      </c>
      <c r="L73" s="5">
        <v>5.5102467586783721E-2</v>
      </c>
      <c r="M73" s="5">
        <v>7.0776740237691094E-2</v>
      </c>
    </row>
    <row r="74" spans="1:13" x14ac:dyDescent="0.25">
      <c r="A74" s="39" t="s">
        <v>127</v>
      </c>
      <c r="B74" t="s">
        <v>89</v>
      </c>
      <c r="C74" t="s">
        <v>164</v>
      </c>
      <c r="D74" s="182">
        <v>0.20875984251968482</v>
      </c>
      <c r="E74" s="5">
        <v>0.23290834253588977</v>
      </c>
      <c r="I74" t="str">
        <v>https://www.insee.fr/fr/statistiques/serie/001763781</v>
      </c>
      <c r="J74" t="str">
        <v>001763781</v>
      </c>
      <c r="K74" t="str">
        <v>Restaurants et hôtels</v>
      </c>
      <c r="L74" s="5">
        <v>4.531817625209178E-2</v>
      </c>
      <c r="M74" s="5">
        <v>4.9849856005247162E-2</v>
      </c>
    </row>
    <row r="75" spans="1:13" x14ac:dyDescent="0.25">
      <c r="A75" s="39" t="s">
        <v>128</v>
      </c>
      <c r="B75" t="s">
        <v>90</v>
      </c>
      <c r="C75" t="s">
        <v>165</v>
      </c>
      <c r="D75" s="182">
        <v>0.40667449270501455</v>
      </c>
      <c r="E75" s="5">
        <v>0.75996642887117116</v>
      </c>
      <c r="I75" t="str">
        <v>https://www.insee.fr/fr/statistiques/serie/001711943</v>
      </c>
      <c r="J75" t="str">
        <v>001711943</v>
      </c>
      <c r="K75" t="str">
        <v>Transports routiers</v>
      </c>
      <c r="L75" s="5">
        <v>4.2897612302711607E-2</v>
      </c>
      <c r="M75" s="5">
        <v>4.4906234161176117E-2</v>
      </c>
    </row>
    <row r="76" spans="1:13" x14ac:dyDescent="0.25">
      <c r="A76" s="39" t="s">
        <v>129</v>
      </c>
      <c r="B76" t="s">
        <v>91</v>
      </c>
      <c r="C76" t="s">
        <v>166</v>
      </c>
      <c r="D76" s="182">
        <v>0.28805031446540896</v>
      </c>
      <c r="E76" s="5">
        <v>0.98017887357988864</v>
      </c>
      <c r="I76" t="str">
        <v>https://www.insee.fr/fr/statistiques/serie/010536067</v>
      </c>
      <c r="J76" t="str">
        <v>010536067</v>
      </c>
      <c r="K76" t="str">
        <v>Sables et granulats</v>
      </c>
      <c r="L76" s="5">
        <v>3.8867000319454892E-2</v>
      </c>
      <c r="M76" s="5">
        <v>5.1973258572352687E-2</v>
      </c>
    </row>
    <row r="77" spans="1:13" x14ac:dyDescent="0.25">
      <c r="A77" s="39" t="s">
        <v>130</v>
      </c>
      <c r="B77" t="s">
        <v>92</v>
      </c>
      <c r="C77" t="s">
        <v>167</v>
      </c>
      <c r="D77" s="182">
        <v>0.14867873390765673</v>
      </c>
      <c r="E77" s="5">
        <v>0.20845213849287192</v>
      </c>
      <c r="I77" t="str">
        <v>https://www.insee.fr/fr/statistiques/serie/010534702</v>
      </c>
      <c r="J77" t="str">
        <v>010534702</v>
      </c>
      <c r="K77" t="str">
        <v>Appareils d'éclairage électrique</v>
      </c>
      <c r="L77" s="5">
        <v>3.5718374356038751E-2</v>
      </c>
      <c r="M77" s="5">
        <v>3.3116364051615665E-2</v>
      </c>
    </row>
    <row r="78" spans="1:13" x14ac:dyDescent="0.25">
      <c r="A78" s="39" t="s">
        <v>131</v>
      </c>
      <c r="B78" t="s">
        <v>93</v>
      </c>
      <c r="C78" t="s">
        <v>168</v>
      </c>
      <c r="D78" s="182">
        <v>4.531817625209178E-2</v>
      </c>
      <c r="E78" s="5">
        <v>4.9849856005247162E-2</v>
      </c>
      <c r="I78" t="str">
        <v>https://www.insee.fr/fr/statistiques/serie/001565195</v>
      </c>
      <c r="J78" t="str">
        <v>001565195</v>
      </c>
      <c r="K78" t="str">
        <v>Travail activités spécialisées</v>
      </c>
      <c r="L78" s="5">
        <v>1.2337896253602043E-2</v>
      </c>
      <c r="M78" s="5">
        <v>2.9584172925444241E-2</v>
      </c>
    </row>
    <row r="79" spans="1:13" x14ac:dyDescent="0.25">
      <c r="A79" s="39" t="s">
        <v>132</v>
      </c>
      <c r="B79" t="s">
        <v>94</v>
      </c>
      <c r="C79" t="s">
        <v>169</v>
      </c>
      <c r="D79" s="182">
        <v>7.5806147463699958E-2</v>
      </c>
      <c r="E79" s="5">
        <v>0.12992671816201229</v>
      </c>
      <c r="I79" t="str">
        <v>https://www.insee.fr/fr/statistiques/6020697</v>
      </c>
      <c r="J79" t="str">
        <v>5540998</v>
      </c>
      <c r="K79" t="str">
        <v>Travail</v>
      </c>
      <c r="L79" s="5">
        <v>3.5262206148283237E-3</v>
      </c>
      <c r="M79" s="5">
        <v>-2.785265049415897E-3</v>
      </c>
    </row>
    <row r="80" spans="1:13" x14ac:dyDescent="0.25">
      <c r="A80" s="39" t="s">
        <v>133</v>
      </c>
      <c r="B80" t="s">
        <v>95</v>
      </c>
      <c r="C80" t="s">
        <v>170</v>
      </c>
      <c r="D80" s="182">
        <v>0.13794713738675646</v>
      </c>
      <c r="E80" s="5">
        <v>0.359063022866704</v>
      </c>
      <c r="I80" t="str">
        <v>https://www.insee.fr/fr/statistiques/serie/010535345</v>
      </c>
      <c r="J80" t="str">
        <v>010535345</v>
      </c>
      <c r="K80" t="str">
        <v>Câbles de fibres optiques</v>
      </c>
      <c r="L80" s="5">
        <v>-1.0704345964461792E-3</v>
      </c>
      <c r="M80" s="5">
        <v>-2.7916666666666701E-2</v>
      </c>
    </row>
    <row r="81" spans="3:44" x14ac:dyDescent="0.25">
      <c r="D81" s="121"/>
    </row>
    <row r="82" spans="3:44" x14ac:dyDescent="0.25">
      <c r="C82" t="str">
        <f>'A MODIFIER'!A10</f>
        <v>*/2021</v>
      </c>
      <c r="D82" s="6">
        <f>('CUMULS INDICES'!B20/'CUMULS INDICES'!B36)-1</f>
        <v>6.106791083462948E-2</v>
      </c>
      <c r="E82" s="6">
        <f>('CUMULS INDICES'!C20/'CUMULS INDICES'!C36)-1</f>
        <v>3.5262206148283237E-3</v>
      </c>
      <c r="F82" s="6">
        <f>('CUMULS INDICES'!D20/'CUMULS INDICES'!D36)-1</f>
        <v>1.2337896253602043E-2</v>
      </c>
      <c r="G82" s="6">
        <f>('CUMULS INDICES'!E20/'CUMULS INDICES'!E36)-1</f>
        <v>0.56175489439496218</v>
      </c>
      <c r="H82" s="6">
        <f>('CUMULS INDICES'!F20/'CUMULS INDICES'!F36)-1</f>
        <v>0.32894112833483691</v>
      </c>
      <c r="I82" s="6">
        <f>('CUMULS INDICES'!G20/'CUMULS INDICES'!G36)-1</f>
        <v>5.7224758466928316E-2</v>
      </c>
      <c r="J82" s="6">
        <f>('CUMULS INDICES'!H20/'CUMULS INDICES'!H36)-1</f>
        <v>4.2897612302711607E-2</v>
      </c>
      <c r="K82" s="6">
        <f>('CUMULS INDICES'!I20/'CUMULS INDICES'!I36)-1</f>
        <v>0.14841341795104257</v>
      </c>
      <c r="L82" s="6">
        <f>('CUMULS INDICES'!J20/'CUMULS INDICES'!J36)-1</f>
        <v>3.41726075652101</v>
      </c>
      <c r="M82" s="6">
        <f>('CUMULS INDICES'!K20/'CUMULS INDICES'!K36)-1</f>
        <v>0.67861438811862906</v>
      </c>
      <c r="N82" s="6">
        <f>('CUMULS INDICES'!L20/'CUMULS INDICES'!L36)-1</f>
        <v>0.19917554795897852</v>
      </c>
      <c r="O82" s="6">
        <f>('CUMULS INDICES'!M20/'CUMULS INDICES'!M36)-1</f>
        <v>0.26293333333333324</v>
      </c>
      <c r="P82" s="6">
        <f>('CUMULS INDICES'!N20/'CUMULS INDICES'!N36)-1</f>
        <v>5.5102467586783721E-2</v>
      </c>
      <c r="Q82" s="6">
        <f>('CUMULS INDICES'!O20/'CUMULS INDICES'!O36)-1</f>
        <v>0.43733296786130316</v>
      </c>
      <c r="R82" s="6">
        <f>('CUMULS INDICES'!P20/'CUMULS INDICES'!P36)-1</f>
        <v>3.8867000319454892E-2</v>
      </c>
      <c r="S82" s="6">
        <f>('CUMULS INDICES'!Q20/'CUMULS INDICES'!Q36)-1</f>
        <v>0.21830985915492973</v>
      </c>
      <c r="T82" s="6">
        <f>('CUMULS INDICES'!R20/'CUMULS INDICES'!R36)-1</f>
        <v>0.22091295116772813</v>
      </c>
      <c r="U82" s="6">
        <f>('CUMULS INDICES'!S20/'CUMULS INDICES'!S36)-1</f>
        <v>0.36238990284209627</v>
      </c>
      <c r="V82" s="6">
        <f>('CUMULS INDICES'!T20/'CUMULS INDICES'!T36)-1</f>
        <v>0.49281822684497301</v>
      </c>
      <c r="W82" s="6">
        <f>('CUMULS INDICES'!U20/'CUMULS INDICES'!U36)-1</f>
        <v>0.44992186390112221</v>
      </c>
      <c r="X82" s="6">
        <f>('CUMULS INDICES'!V20/'CUMULS INDICES'!V36)-1</f>
        <v>0.10338826901422848</v>
      </c>
      <c r="Y82" s="6">
        <f>('CUMULS INDICES'!W20/'CUMULS INDICES'!W36)-1</f>
        <v>6.8490153172866552E-2</v>
      </c>
      <c r="Z82" s="6">
        <f>('CUMULS INDICES'!X20/'CUMULS INDICES'!X36)-1</f>
        <v>0.20940219233811708</v>
      </c>
      <c r="AA82" s="6">
        <f>('CUMULS INDICES'!Y20/'CUMULS INDICES'!Y36)-1</f>
        <v>0.20170848905499206</v>
      </c>
      <c r="AB82" s="6">
        <f>('CUMULS INDICES'!Z20/'CUMULS INDICES'!Z36)-1</f>
        <v>8.5368863380137272E-2</v>
      </c>
      <c r="AC82" s="6">
        <f>('CUMULS INDICES'!AA20/'CUMULS INDICES'!AA36)-1</f>
        <v>7.4293900941465374E-2</v>
      </c>
      <c r="AD82" s="6">
        <f>('CUMULS INDICES'!AB20/'CUMULS INDICES'!AB36)-1</f>
        <v>0.30385684503127175</v>
      </c>
      <c r="AE82" s="6">
        <f>('CUMULS INDICES'!AC20/'CUMULS INDICES'!AC36)-1</f>
        <v>0.26648324653630762</v>
      </c>
      <c r="AF82" s="6">
        <f>('CUMULS INDICES'!AD20/'CUMULS INDICES'!AD36)-1</f>
        <v>0.1052910613932776</v>
      </c>
      <c r="AG82" s="6">
        <f>('CUMULS INDICES'!AE20/'CUMULS INDICES'!AE36)-1</f>
        <v>0.24473788721207312</v>
      </c>
      <c r="AH82" s="6">
        <f>('CUMULS INDICES'!AF20/'CUMULS INDICES'!AF36)-1</f>
        <v>8.8900634249471366E-2</v>
      </c>
      <c r="AI82" s="6">
        <f>('CUMULS INDICES'!AG20/'CUMULS INDICES'!AG36)-1</f>
        <v>8.7262417305471018E-2</v>
      </c>
      <c r="AJ82" s="6">
        <f>('CUMULS INDICES'!AH20/'CUMULS INDICES'!AH36)-1</f>
        <v>3.5718374356038751E-2</v>
      </c>
      <c r="AK82" s="6">
        <f>('CUMULS INDICES'!AI20/'CUMULS INDICES'!AI36)-1</f>
        <v>-1.0704345964461792E-3</v>
      </c>
      <c r="AL82" s="6">
        <f>('CUMULS INDICES'!AJ20/'CUMULS INDICES'!AJ36)-1</f>
        <v>0.20875984251968482</v>
      </c>
      <c r="AM82" s="6">
        <f>('CUMULS INDICES'!AK20/'CUMULS INDICES'!AK36)-1</f>
        <v>0.40667449270501455</v>
      </c>
      <c r="AN82" s="6">
        <f>('CUMULS INDICES'!AL20/'CUMULS INDICES'!AL36)-1</f>
        <v>0.28805031446540896</v>
      </c>
      <c r="AO82" s="6">
        <f>('CUMULS INDICES'!AM20/'CUMULS INDICES'!AM36)-1</f>
        <v>0.14867873390765673</v>
      </c>
      <c r="AP82" s="6">
        <f>('CUMULS INDICES'!AN20/'CUMULS INDICES'!AN36)-1</f>
        <v>4.531817625209178E-2</v>
      </c>
      <c r="AQ82" s="6">
        <f>('CUMULS INDICES'!AO20/'CUMULS INDICES'!AO36)-1</f>
        <v>7.5806147463699958E-2</v>
      </c>
      <c r="AR82" s="6">
        <f>('CUMULS INDICES'!AP20/'CUMULS INDICES'!AP36)-1</f>
        <v>0.13794713738675646</v>
      </c>
    </row>
    <row r="83" spans="3:44" x14ac:dyDescent="0.25">
      <c r="C83" t="str">
        <f>'A MODIFIER'!A9</f>
        <v>*/2020</v>
      </c>
      <c r="D83" s="6">
        <f>('CUMULS INDICES'!B20/'CUMULS INDICES'!B52)-1</f>
        <v>9.0231170768083624E-2</v>
      </c>
      <c r="E83" s="6">
        <f>('CUMULS INDICES'!C20/'CUMULS INDICES'!C52)-1</f>
        <v>-2.785265049415897E-3</v>
      </c>
      <c r="F83" s="6">
        <f>('CUMULS INDICES'!D20/'CUMULS INDICES'!D52)-1</f>
        <v>2.9584172925444241E-2</v>
      </c>
      <c r="G83" s="6">
        <f>('CUMULS INDICES'!E20/'CUMULS INDICES'!E52)-1</f>
        <v>0.83458129028007733</v>
      </c>
      <c r="H83" s="6">
        <f>('CUMULS INDICES'!F20/'CUMULS INDICES'!F52)-1</f>
        <v>0.44251655361757103</v>
      </c>
      <c r="I83" s="6">
        <f>('CUMULS INDICES'!G20/'CUMULS INDICES'!G52)-1</f>
        <v>6.7882037533511852E-2</v>
      </c>
      <c r="J83" s="6">
        <f>('CUMULS INDICES'!H20/'CUMULS INDICES'!H52)-1</f>
        <v>4.4906234161176117E-2</v>
      </c>
      <c r="K83" s="6">
        <f>('CUMULS INDICES'!I20/'CUMULS INDICES'!I52)-1</f>
        <v>0.19635436343029844</v>
      </c>
      <c r="L83" s="6">
        <f>('CUMULS INDICES'!J20/'CUMULS INDICES'!J52)-1</f>
        <v>13.907161052929522</v>
      </c>
      <c r="M83" s="6">
        <f>('CUMULS INDICES'!K20/'CUMULS INDICES'!K52)-1</f>
        <v>1.2356522298301886</v>
      </c>
      <c r="N83" s="6">
        <f>('CUMULS INDICES'!L20/'CUMULS INDICES'!L52)-1</f>
        <v>0.32536948549838884</v>
      </c>
      <c r="O83" s="6">
        <f>('CUMULS INDICES'!M20/'CUMULS INDICES'!M52)-1</f>
        <v>0.47830610758505898</v>
      </c>
      <c r="P83" s="6">
        <f>('CUMULS INDICES'!N20/'CUMULS INDICES'!N52)-1</f>
        <v>7.0776740237691094E-2</v>
      </c>
      <c r="Q83" s="6">
        <f>('CUMULS INDICES'!O20/'CUMULS INDICES'!O52)-1</f>
        <v>1.1071930882057464</v>
      </c>
      <c r="R83" s="6">
        <f>('CUMULS INDICES'!P20/'CUMULS INDICES'!P52)-1</f>
        <v>5.1973258572352687E-2</v>
      </c>
      <c r="S83" s="6">
        <f>('CUMULS INDICES'!Q20/'CUMULS INDICES'!Q52)-1</f>
        <v>0.39935290039288196</v>
      </c>
      <c r="T83" s="6">
        <f>('CUMULS INDICES'!R20/'CUMULS INDICES'!R52)-1</f>
        <v>0.24591051890369386</v>
      </c>
      <c r="U83" s="6">
        <f>('CUMULS INDICES'!S20/'CUMULS INDICES'!S52)-1</f>
        <v>0.49695699890252465</v>
      </c>
      <c r="V83" s="6">
        <f>('CUMULS INDICES'!T20/'CUMULS INDICES'!T52)-1</f>
        <v>1.153736218864843</v>
      </c>
      <c r="W83" s="6">
        <f>('CUMULS INDICES'!U20/'CUMULS INDICES'!U52)-1</f>
        <v>0.67311475409836063</v>
      </c>
      <c r="X83" s="6">
        <f>('CUMULS INDICES'!V20/'CUMULS INDICES'!V52)-1</f>
        <v>0.14511845320301697</v>
      </c>
      <c r="Y83" s="6">
        <f>('CUMULS INDICES'!W20/'CUMULS INDICES'!W52)-1</f>
        <v>7.6973974415527113E-2</v>
      </c>
      <c r="Z83" s="6">
        <f>('CUMULS INDICES'!X20/'CUMULS INDICES'!X52)-1</f>
        <v>0.26381672177609783</v>
      </c>
      <c r="AA83" s="6">
        <f>('CUMULS INDICES'!Y20/'CUMULS INDICES'!Y52)-1</f>
        <v>0.2108887454271573</v>
      </c>
      <c r="AB83" s="6">
        <f>('CUMULS INDICES'!Z20/'CUMULS INDICES'!Z52)-1</f>
        <v>0.14091187244128411</v>
      </c>
      <c r="AC83" s="6">
        <f>('CUMULS INDICES'!AA20/'CUMULS INDICES'!AA52)-1</f>
        <v>9.880678249947672E-2</v>
      </c>
      <c r="AD83" s="6">
        <f>('CUMULS INDICES'!AB20/'CUMULS INDICES'!AB52)-1</f>
        <v>0.82959531935641162</v>
      </c>
      <c r="AE83" s="6">
        <f>('CUMULS INDICES'!AC20/'CUMULS INDICES'!AC52)-1</f>
        <v>0.36189771766694845</v>
      </c>
      <c r="AF83" s="6">
        <f>('CUMULS INDICES'!AD20/'CUMULS INDICES'!AD52)-1</f>
        <v>0.1206192216727584</v>
      </c>
      <c r="AG83" s="6">
        <f>('CUMULS INDICES'!AE20/'CUMULS INDICES'!AE52)-1</f>
        <v>0.46374781085814387</v>
      </c>
      <c r="AH83" s="6">
        <f>('CUMULS INDICES'!AF20/'CUMULS INDICES'!AF52)-1</f>
        <v>0.1045464293373366</v>
      </c>
      <c r="AI83" s="6">
        <f>('CUMULS INDICES'!AG20/'CUMULS INDICES'!AG52)-1</f>
        <v>0.11369258900720691</v>
      </c>
      <c r="AJ83" s="6">
        <f>('CUMULS INDICES'!AH20/'CUMULS INDICES'!AH52)-1</f>
        <v>3.3116364051615665E-2</v>
      </c>
      <c r="AK83" s="6">
        <f>('CUMULS INDICES'!AI20/'CUMULS INDICES'!AI52)-1</f>
        <v>-2.7916666666666701E-2</v>
      </c>
      <c r="AL83" s="6">
        <f>('CUMULS INDICES'!AJ20/'CUMULS INDICES'!AJ52)-1</f>
        <v>0.23290834253588977</v>
      </c>
      <c r="AM83" s="6">
        <f>('CUMULS INDICES'!AK20/'CUMULS INDICES'!AK52)-1</f>
        <v>0.75996642887117116</v>
      </c>
      <c r="AN83" s="6">
        <f>('CUMULS INDICES'!AL20/'CUMULS INDICES'!AL52)-1</f>
        <v>0.98017887357988864</v>
      </c>
      <c r="AO83" s="6">
        <f>('CUMULS INDICES'!AM20/'CUMULS INDICES'!AM52)-1</f>
        <v>0.20845213849287192</v>
      </c>
      <c r="AP83" s="6">
        <f>('CUMULS INDICES'!AN20/'CUMULS INDICES'!AN52)-1</f>
        <v>4.9849856005247162E-2</v>
      </c>
      <c r="AQ83" s="6">
        <f>('CUMULS INDICES'!AO20/'CUMULS INDICES'!AO52)-1</f>
        <v>0.12992671816201229</v>
      </c>
      <c r="AR83" s="6">
        <f>('CUMULS INDICES'!AP20/'CUMULS INDICES'!AP52)-1</f>
        <v>0.359063022866704</v>
      </c>
    </row>
  </sheetData>
  <sheetProtection algorithmName="SHA-512" hashValue="eMObRSbGpjlsdUFDFTV4bY4elxZcXHsQ3eAN1O+KmNn6LUr29Ets48HjRaf7gLNG8U8PwZwLZ1OWMp6jXsqcVw==" saltValue="YAj6femecqWFQIpGORaEYw==" spinCount="100000" sheet="1" insertColumns="0" insertRows="0" insertHyperlinks="0" deleteColumns="0" deleteRows="0" sort="0" autoFilter="0"/>
  <mergeCells count="6">
    <mergeCell ref="B34:M34"/>
    <mergeCell ref="B1:M1"/>
    <mergeCell ref="B5:E5"/>
    <mergeCell ref="J5:M5"/>
    <mergeCell ref="B38:E38"/>
    <mergeCell ref="J38:M38"/>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R86"/>
  <sheetViews>
    <sheetView topLeftCell="A46" workbookViewId="0">
      <selection activeCell="H164" sqref="H164"/>
    </sheetView>
  </sheetViews>
  <sheetFormatPr baseColWidth="10" defaultRowHeight="15" x14ac:dyDescent="0.25"/>
  <cols>
    <col min="1" max="1" width="25.7109375" style="3" customWidth="1"/>
    <col min="3" max="3" width="74.85546875" bestFit="1" customWidth="1"/>
    <col min="5" max="8" width="11.5703125" customWidth="1"/>
    <col min="10" max="13" width="11.5703125" customWidth="1"/>
  </cols>
  <sheetData>
    <row r="1" spans="1:25" ht="18.75" x14ac:dyDescent="0.25">
      <c r="B1" s="249" t="s">
        <v>204</v>
      </c>
      <c r="C1" s="249"/>
      <c r="D1" s="249"/>
      <c r="E1" s="249"/>
      <c r="F1" s="249"/>
      <c r="G1" s="249"/>
      <c r="H1" s="249"/>
      <c r="I1" s="249"/>
      <c r="J1" s="249"/>
      <c r="K1" s="249"/>
      <c r="L1" s="249"/>
      <c r="M1" s="249"/>
    </row>
    <row r="2" spans="1:25" s="121" customFormat="1" x14ac:dyDescent="0.25">
      <c r="A2" s="3"/>
      <c r="E2" s="23"/>
      <c r="F2" s="23"/>
      <c r="G2" s="23"/>
      <c r="H2" s="23"/>
      <c r="J2" s="3" t="str" cm="1">
        <f t="array" ref="J2:J3">'A MODIFIER'!A7:A8</f>
        <v>*3 mois = Cumul juil 2022-sept 2022 / Cumul avr 2022-juin 2022</v>
      </c>
    </row>
    <row r="3" spans="1:25" x14ac:dyDescent="0.25">
      <c r="A3" s="153"/>
      <c r="E3" s="23"/>
      <c r="F3" s="23"/>
      <c r="G3" s="23"/>
      <c r="H3" s="23"/>
      <c r="J3" s="3" t="str">
        <v>*6 mois = Cumul avr 2022-sept 2022 / Cumul oct 2021-mars 2022</v>
      </c>
    </row>
    <row r="4" spans="1:25" x14ac:dyDescent="0.25">
      <c r="C4" s="21"/>
      <c r="H4" s="21"/>
      <c r="M4" s="21"/>
      <c r="N4" s="21"/>
      <c r="O4" s="21"/>
      <c r="P4" s="21"/>
      <c r="Q4" s="21"/>
      <c r="R4" s="21"/>
      <c r="S4" s="21"/>
      <c r="T4" s="21"/>
      <c r="U4" s="21"/>
      <c r="V4" s="21"/>
      <c r="W4" s="21"/>
      <c r="X4" s="21"/>
      <c r="Y4" s="21"/>
    </row>
    <row r="5" spans="1:25" x14ac:dyDescent="0.25">
      <c r="J5" s="21"/>
      <c r="K5" s="21"/>
      <c r="L5" s="21"/>
    </row>
    <row r="6" spans="1:25" s="93" customFormat="1" x14ac:dyDescent="0.25">
      <c r="A6" s="3"/>
      <c r="B6" s="133"/>
      <c r="C6" s="133"/>
      <c r="D6" s="133"/>
      <c r="E6" s="133"/>
      <c r="F6" s="133"/>
      <c r="G6" s="133"/>
      <c r="H6" s="133"/>
      <c r="I6" s="133"/>
      <c r="J6" s="133"/>
      <c r="K6" s="133"/>
      <c r="L6" s="133"/>
      <c r="M6" s="133"/>
    </row>
    <row r="7" spans="1:25" s="121" customFormat="1" ht="18.75" x14ac:dyDescent="0.25">
      <c r="A7" s="3"/>
      <c r="B7" s="252" t="s">
        <v>207</v>
      </c>
      <c r="C7" s="249"/>
      <c r="D7" s="249"/>
      <c r="E7" s="249"/>
      <c r="J7" s="252" t="s">
        <v>206</v>
      </c>
      <c r="K7" s="252"/>
      <c r="L7" s="252"/>
      <c r="M7" s="252"/>
    </row>
    <row r="8" spans="1:25" x14ac:dyDescent="0.25">
      <c r="D8" t="s">
        <v>48</v>
      </c>
      <c r="E8" t="s">
        <v>49</v>
      </c>
      <c r="L8" s="22" t="s">
        <v>48</v>
      </c>
      <c r="M8" s="22" t="s">
        <v>49</v>
      </c>
    </row>
    <row r="9" spans="1:25" x14ac:dyDescent="0.25">
      <c r="A9" s="154" t="s">
        <v>224</v>
      </c>
      <c r="B9" t="s">
        <v>24</v>
      </c>
      <c r="C9" t="s">
        <v>0</v>
      </c>
      <c r="D9" s="6" cm="1">
        <f t="array" ref="D9:D31">TRANSPOSE(D33:Z33)</f>
        <v>8.8772845953002388E-3</v>
      </c>
      <c r="E9" s="6" cm="1">
        <f t="array" ref="E9:E31">TRANSPOSE(D34:Z34)</f>
        <v>6.8017767906718429E-2</v>
      </c>
      <c r="J9" t="str" cm="1">
        <f t="array" ref="J9:M31">_xlfn._xlws.SORT(B9:E31,3,-1,FALSE)</f>
        <v>TP13</v>
      </c>
      <c r="K9" t="str">
        <v xml:space="preserve">Charpentes et ouvrages d’art métalliques </v>
      </c>
      <c r="L9">
        <v>6.6295669005564939E-2</v>
      </c>
      <c r="M9">
        <v>2.7801179443976309E-2</v>
      </c>
    </row>
    <row r="10" spans="1:25" x14ac:dyDescent="0.25">
      <c r="A10" s="154" t="s">
        <v>225</v>
      </c>
      <c r="B10" t="s">
        <v>25</v>
      </c>
      <c r="C10" t="s">
        <v>1</v>
      </c>
      <c r="D10" s="6">
        <v>-3.2786885245903452E-3</v>
      </c>
      <c r="E10" s="6">
        <v>5.531858171154358E-2</v>
      </c>
      <c r="J10" t="str">
        <v>TP11</v>
      </c>
      <c r="K10" t="str">
        <v>Canalisations grandes distances de transport / transfert  avec fourniture de tuyaux</v>
      </c>
      <c r="L10">
        <v>3.9115187483139913E-2</v>
      </c>
      <c r="M10">
        <v>9.3605324074074181E-2</v>
      </c>
    </row>
    <row r="11" spans="1:25" x14ac:dyDescent="0.25">
      <c r="A11" s="154" t="s">
        <v>226</v>
      </c>
      <c r="B11" t="s">
        <v>26</v>
      </c>
      <c r="C11" t="s">
        <v>2</v>
      </c>
      <c r="D11" s="6">
        <v>1.1719814663395889E-2</v>
      </c>
      <c r="E11" s="6">
        <v>5.1724137931034475E-2</v>
      </c>
      <c r="J11" t="str">
        <v>TP12b</v>
      </c>
      <c r="K11" t="str">
        <v>Éclairage public -Travaux d'installation</v>
      </c>
      <c r="L11">
        <v>3.628486325480651E-2</v>
      </c>
      <c r="M11">
        <v>7.3825503355704702E-2</v>
      </c>
    </row>
    <row r="12" spans="1:25" x14ac:dyDescent="0.25">
      <c r="A12" s="154" t="s">
        <v>226</v>
      </c>
      <c r="B12" t="s">
        <v>27</v>
      </c>
      <c r="C12" t="s">
        <v>3</v>
      </c>
      <c r="D12" s="6">
        <v>1.2147984538928736E-2</v>
      </c>
      <c r="E12" s="6">
        <v>6.7995310668229836E-2</v>
      </c>
      <c r="J12" t="str">
        <v>TP10d</v>
      </c>
      <c r="K12" t="str">
        <v>Réseaux de chauffage et de froid avec fourniture de tuyaux</v>
      </c>
      <c r="L12">
        <v>3.1786216596342953E-2</v>
      </c>
      <c r="M12">
        <v>6.7543600354714739E-2</v>
      </c>
    </row>
    <row r="13" spans="1:25" x14ac:dyDescent="0.25">
      <c r="A13" s="154" t="s">
        <v>227</v>
      </c>
      <c r="B13" t="s">
        <v>28</v>
      </c>
      <c r="C13" t="s">
        <v>4</v>
      </c>
      <c r="D13" s="6">
        <v>-9.0135202804206838E-3</v>
      </c>
      <c r="E13" s="6">
        <v>7.2420768712069927E-2</v>
      </c>
      <c r="J13" t="str">
        <v>TP10a</v>
      </c>
      <c r="K13" t="str">
        <v xml:space="preserve">Canalisations, assainissement et adduction d’eau avec fourniture de tuyaux </v>
      </c>
      <c r="L13">
        <v>1.4614343707713084E-2</v>
      </c>
      <c r="M13">
        <v>4.9189570119802628E-2</v>
      </c>
    </row>
    <row r="14" spans="1:25" x14ac:dyDescent="0.25">
      <c r="A14" s="154" t="s">
        <v>228</v>
      </c>
      <c r="B14" t="s">
        <v>29</v>
      </c>
      <c r="C14" t="s">
        <v>5</v>
      </c>
      <c r="D14" s="6">
        <v>0</v>
      </c>
      <c r="E14" s="6">
        <v>5.6108347153123184E-2</v>
      </c>
      <c r="J14" t="str">
        <v>TP03b</v>
      </c>
      <c r="K14" t="str">
        <v>Travaux à l’explosif</v>
      </c>
      <c r="L14">
        <v>1.2147984538928736E-2</v>
      </c>
      <c r="M14">
        <v>6.7995310668229836E-2</v>
      </c>
    </row>
    <row r="15" spans="1:25" x14ac:dyDescent="0.25">
      <c r="A15" s="154" t="s">
        <v>229</v>
      </c>
      <c r="B15" t="s">
        <v>30</v>
      </c>
      <c r="C15" t="s">
        <v>6</v>
      </c>
      <c r="D15" s="6">
        <v>7.8968149513025665E-4</v>
      </c>
      <c r="E15" s="6">
        <v>5.0732651368537329E-2</v>
      </c>
      <c r="J15" t="str">
        <v>TP03a</v>
      </c>
      <c r="K15" t="str">
        <v>Grands terrassements</v>
      </c>
      <c r="L15">
        <v>1.1719814663395889E-2</v>
      </c>
      <c r="M15">
        <v>5.1724137931034475E-2</v>
      </c>
    </row>
    <row r="16" spans="1:25" x14ac:dyDescent="0.25">
      <c r="A16" s="154" t="s">
        <v>230</v>
      </c>
      <c r="B16" t="s">
        <v>31</v>
      </c>
      <c r="C16" t="s">
        <v>7</v>
      </c>
      <c r="D16" s="6">
        <v>-6.5885797950220315E-3</v>
      </c>
      <c r="E16" s="6">
        <v>9.0072057646116921E-2</v>
      </c>
      <c r="J16" t="str">
        <v>TP14</v>
      </c>
      <c r="K16" t="str">
        <v>Travaux immergés par scaphandriers</v>
      </c>
      <c r="L16">
        <v>1.096190737188274E-2</v>
      </c>
      <c r="M16">
        <v>3.0039303761931535E-2</v>
      </c>
    </row>
    <row r="17" spans="1:13" x14ac:dyDescent="0.25">
      <c r="A17" s="154" t="s">
        <v>231</v>
      </c>
      <c r="B17" t="s">
        <v>32</v>
      </c>
      <c r="C17" t="s">
        <v>8</v>
      </c>
      <c r="D17" s="6">
        <v>7.475083056478482E-3</v>
      </c>
      <c r="E17" s="6">
        <v>4.6924631822119478E-2</v>
      </c>
      <c r="J17" t="str">
        <v>TP12d</v>
      </c>
      <c r="K17" t="str">
        <v>Réseaux de communication en fibre optique</v>
      </c>
      <c r="L17">
        <v>1.0722347629796847E-2</v>
      </c>
      <c r="M17">
        <v>2.1941775419475062E-2</v>
      </c>
    </row>
    <row r="18" spans="1:13" x14ac:dyDescent="0.25">
      <c r="A18" s="154" t="s">
        <v>232</v>
      </c>
      <c r="B18" t="s">
        <v>33</v>
      </c>
      <c r="C18" t="s">
        <v>9</v>
      </c>
      <c r="D18" s="6">
        <v>-1.8692575773576747E-2</v>
      </c>
      <c r="E18" s="6">
        <v>0.12502998320940284</v>
      </c>
      <c r="J18" t="str">
        <v>TP12c</v>
      </c>
      <c r="K18" t="str">
        <v>Éclairage public - Travaux  de maintenance</v>
      </c>
      <c r="L18">
        <v>1.0446075663466781E-2</v>
      </c>
      <c r="M18">
        <v>2.2691368662932643E-2</v>
      </c>
    </row>
    <row r="19" spans="1:13" x14ac:dyDescent="0.25">
      <c r="A19" s="154" t="s">
        <v>233</v>
      </c>
      <c r="B19" t="s">
        <v>34</v>
      </c>
      <c r="C19" t="s">
        <v>10</v>
      </c>
      <c r="D19" s="6">
        <v>9.5607235142121105E-3</v>
      </c>
      <c r="E19" s="6">
        <v>8.6780324203465709E-2</v>
      </c>
      <c r="J19" t="str">
        <v>TP12a</v>
      </c>
      <c r="K19" t="str">
        <v>Réseaux d'énergie et de communication</v>
      </c>
      <c r="L19">
        <v>9.7826086956520619E-3</v>
      </c>
      <c r="M19">
        <v>3.9494026704146146E-2</v>
      </c>
    </row>
    <row r="20" spans="1:13" x14ac:dyDescent="0.25">
      <c r="A20" s="154" t="s">
        <v>234</v>
      </c>
      <c r="B20" t="s">
        <v>35</v>
      </c>
      <c r="C20" t="s">
        <v>11</v>
      </c>
      <c r="D20" s="6">
        <v>9.1656874265568788E-3</v>
      </c>
      <c r="E20" s="6">
        <v>0.15200107802182994</v>
      </c>
      <c r="J20" t="str">
        <v>TP08</v>
      </c>
      <c r="K20" t="str">
        <v>Travaux d’aménagement et entretien de voirie</v>
      </c>
      <c r="L20">
        <v>9.5607235142121105E-3</v>
      </c>
      <c r="M20">
        <v>8.6780324203465709E-2</v>
      </c>
    </row>
    <row r="21" spans="1:13" x14ac:dyDescent="0.25">
      <c r="A21" s="154" t="s">
        <v>235</v>
      </c>
      <c r="B21" t="s">
        <v>36</v>
      </c>
      <c r="C21" t="s">
        <v>12</v>
      </c>
      <c r="D21" s="6">
        <v>1.4614343707713084E-2</v>
      </c>
      <c r="E21" s="6">
        <v>4.9189570119802628E-2</v>
      </c>
      <c r="J21" t="str">
        <v>TP09</v>
      </c>
      <c r="K21" t="str">
        <v>Fabrication et mise en œuvre d’enrobés </v>
      </c>
      <c r="L21">
        <v>9.1656874265568788E-3</v>
      </c>
      <c r="M21">
        <v>0.15200107802182994</v>
      </c>
    </row>
    <row r="22" spans="1:13" x14ac:dyDescent="0.25">
      <c r="A22" s="154" t="s">
        <v>236</v>
      </c>
      <c r="B22" t="s">
        <v>37</v>
      </c>
      <c r="C22" t="s">
        <v>13</v>
      </c>
      <c r="D22" s="6">
        <v>6.5807513024405129E-3</v>
      </c>
      <c r="E22" s="6">
        <v>3.5077793493635046E-2</v>
      </c>
      <c r="J22" t="str">
        <v>TP01</v>
      </c>
      <c r="K22" t="str">
        <v>Index général tous travaux</v>
      </c>
      <c r="L22">
        <v>8.8772845953002388E-3</v>
      </c>
      <c r="M22">
        <v>6.8017767906718429E-2</v>
      </c>
    </row>
    <row r="23" spans="1:13" x14ac:dyDescent="0.25">
      <c r="A23" s="154" t="s">
        <v>237</v>
      </c>
      <c r="B23" t="s">
        <v>38</v>
      </c>
      <c r="C23" t="s">
        <v>14</v>
      </c>
      <c r="D23" s="6">
        <v>-7.7034183919113541E-3</v>
      </c>
      <c r="E23" s="6">
        <v>7.1881880585416225E-2</v>
      </c>
      <c r="J23" t="str">
        <v>TP06b</v>
      </c>
      <c r="K23" t="str">
        <v>Dragages fluviaux et petits dragages maritimes</v>
      </c>
      <c r="L23">
        <v>7.475083056478482E-3</v>
      </c>
      <c r="M23">
        <v>4.6924631822119478E-2</v>
      </c>
    </row>
    <row r="24" spans="1:13" x14ac:dyDescent="0.25">
      <c r="A24" s="154" t="s">
        <v>238</v>
      </c>
      <c r="B24" t="s">
        <v>39</v>
      </c>
      <c r="C24" t="s">
        <v>15</v>
      </c>
      <c r="D24" s="6">
        <v>3.1786216596342953E-2</v>
      </c>
      <c r="E24" s="6">
        <v>6.7543600354714739E-2</v>
      </c>
      <c r="J24" t="str">
        <v>TP10b</v>
      </c>
      <c r="K24" t="str">
        <v>Canalisations sans fourniture de tuyaux</v>
      </c>
      <c r="L24">
        <v>6.5807513024405129E-3</v>
      </c>
      <c r="M24">
        <v>3.5077793493635046E-2</v>
      </c>
    </row>
    <row r="25" spans="1:13" x14ac:dyDescent="0.25">
      <c r="A25" s="154" t="s">
        <v>239</v>
      </c>
      <c r="B25" t="s">
        <v>40</v>
      </c>
      <c r="C25" t="s">
        <v>16</v>
      </c>
      <c r="D25" s="6">
        <v>3.9115187483139913E-2</v>
      </c>
      <c r="E25" s="6">
        <v>9.3605324074074181E-2</v>
      </c>
      <c r="J25" t="str">
        <v>TP05b</v>
      </c>
      <c r="K25" t="str">
        <v xml:space="preserve">Travaux en souterrains avec tunnelier </v>
      </c>
      <c r="L25">
        <v>7.8968149513025665E-4</v>
      </c>
      <c r="M25">
        <v>5.0732651368537329E-2</v>
      </c>
    </row>
    <row r="26" spans="1:13" x14ac:dyDescent="0.25">
      <c r="A26" s="154" t="s">
        <v>240</v>
      </c>
      <c r="B26" t="s">
        <v>41</v>
      </c>
      <c r="C26" t="s">
        <v>17</v>
      </c>
      <c r="D26" s="6">
        <v>9.7826086956520619E-3</v>
      </c>
      <c r="E26" s="6">
        <v>3.9494026704146146E-2</v>
      </c>
      <c r="J26" t="str">
        <v>TP05a</v>
      </c>
      <c r="K26" t="str">
        <v xml:space="preserve">Travaux en souterrains traditionnels </v>
      </c>
      <c r="L26">
        <v>0</v>
      </c>
      <c r="M26">
        <v>5.6108347153123184E-2</v>
      </c>
    </row>
    <row r="27" spans="1:13" x14ac:dyDescent="0.25">
      <c r="A27" s="154" t="s">
        <v>241</v>
      </c>
      <c r="B27" t="s">
        <v>42</v>
      </c>
      <c r="C27" t="s">
        <v>18</v>
      </c>
      <c r="D27" s="6">
        <v>3.628486325480651E-2</v>
      </c>
      <c r="E27" s="6">
        <v>7.3825503355704702E-2</v>
      </c>
      <c r="J27" t="str">
        <v>TP02</v>
      </c>
      <c r="K27" t="str">
        <v>Travaux de génie civil et d’ouvrages d’art neufs ou rénovation</v>
      </c>
      <c r="L27">
        <v>-3.2786885245903452E-3</v>
      </c>
      <c r="M27">
        <v>5.531858171154358E-2</v>
      </c>
    </row>
    <row r="28" spans="1:13" x14ac:dyDescent="0.25">
      <c r="A28" s="154" t="s">
        <v>242</v>
      </c>
      <c r="B28" t="s">
        <v>43</v>
      </c>
      <c r="C28" t="s">
        <v>19</v>
      </c>
      <c r="D28" s="6">
        <v>1.0446075663466781E-2</v>
      </c>
      <c r="E28" s="6">
        <v>2.2691368662932643E-2</v>
      </c>
      <c r="J28" t="str">
        <v>TP06a</v>
      </c>
      <c r="K28" t="str">
        <v>Grands dragages maritimes </v>
      </c>
      <c r="L28">
        <v>-6.5885797950220315E-3</v>
      </c>
      <c r="M28">
        <v>9.0072057646116921E-2</v>
      </c>
    </row>
    <row r="29" spans="1:13" x14ac:dyDescent="0.25">
      <c r="A29" s="154" t="s">
        <v>243</v>
      </c>
      <c r="B29" t="s">
        <v>44</v>
      </c>
      <c r="C29" t="s">
        <v>20</v>
      </c>
      <c r="D29" s="6">
        <v>1.0722347629796847E-2</v>
      </c>
      <c r="E29" s="6">
        <v>2.1941775419475062E-2</v>
      </c>
      <c r="J29" t="str">
        <v>TP10c</v>
      </c>
      <c r="K29" t="str">
        <v>Réhabilitation de canalisations non visitables</v>
      </c>
      <c r="L29">
        <v>-7.7034183919113541E-3</v>
      </c>
      <c r="M29">
        <v>7.1881880585416225E-2</v>
      </c>
    </row>
    <row r="30" spans="1:13" x14ac:dyDescent="0.25">
      <c r="A30" s="154" t="s">
        <v>244</v>
      </c>
      <c r="B30" t="s">
        <v>45</v>
      </c>
      <c r="C30" t="s">
        <v>21</v>
      </c>
      <c r="D30" s="6">
        <v>6.6295669005564939E-2</v>
      </c>
      <c r="E30" s="6">
        <v>2.7801179443976309E-2</v>
      </c>
      <c r="J30" t="str">
        <v>TP04</v>
      </c>
      <c r="K30" t="str">
        <v xml:space="preserve">Fondations et travaux géotechniques </v>
      </c>
      <c r="L30">
        <v>-9.0135202804206838E-3</v>
      </c>
      <c r="M30">
        <v>7.2420768712069927E-2</v>
      </c>
    </row>
    <row r="31" spans="1:13" x14ac:dyDescent="0.25">
      <c r="A31" s="154" t="s">
        <v>245</v>
      </c>
      <c r="B31" t="s">
        <v>46</v>
      </c>
      <c r="C31" t="s">
        <v>22</v>
      </c>
      <c r="D31" s="6">
        <v>1.096190737188274E-2</v>
      </c>
      <c r="E31" s="6">
        <v>3.0039303761931535E-2</v>
      </c>
      <c r="J31" t="str">
        <v>TP07b</v>
      </c>
      <c r="K31" t="str">
        <v>Travaux de génie civil, béton et acier pour ouvrages maritimes</v>
      </c>
      <c r="L31">
        <v>-1.8692575773576747E-2</v>
      </c>
      <c r="M31">
        <v>0.12502998320940284</v>
      </c>
    </row>
    <row r="32" spans="1:13" x14ac:dyDescent="0.25">
      <c r="D32" s="5"/>
      <c r="E32" s="5"/>
    </row>
    <row r="33" spans="1:27" s="121" customFormat="1" x14ac:dyDescent="0.25">
      <c r="A33" s="3"/>
      <c r="C33" s="121" t="s">
        <v>50</v>
      </c>
      <c r="D33" s="5">
        <f>('CUMULS INDEX'!B62/'CUMULS INDEX'!B63)-1</f>
        <v>8.8772845953002388E-3</v>
      </c>
      <c r="E33" s="5">
        <f>('CUMULS INDEX'!C62/'CUMULS INDEX'!C63)-1</f>
        <v>-3.2786885245903452E-3</v>
      </c>
      <c r="F33" s="5">
        <f>('CUMULS INDEX'!D62/'CUMULS INDEX'!D63)-1</f>
        <v>1.1719814663395889E-2</v>
      </c>
      <c r="G33" s="5">
        <f>('CUMULS INDEX'!E62/'CUMULS INDEX'!E63)-1</f>
        <v>1.2147984538928736E-2</v>
      </c>
      <c r="H33" s="5">
        <f>('CUMULS INDEX'!F62/'CUMULS INDEX'!F63)-1</f>
        <v>-9.0135202804206838E-3</v>
      </c>
      <c r="I33" s="5">
        <f>('CUMULS INDEX'!G62/'CUMULS INDEX'!G63)-1</f>
        <v>0</v>
      </c>
      <c r="J33" s="5">
        <f>('CUMULS INDEX'!H62/'CUMULS INDEX'!H63)-1</f>
        <v>7.8968149513025665E-4</v>
      </c>
      <c r="K33" s="5">
        <f>('CUMULS INDEX'!I62/'CUMULS INDEX'!I63)-1</f>
        <v>-6.5885797950220315E-3</v>
      </c>
      <c r="L33" s="5">
        <f>('CUMULS INDEX'!J62/'CUMULS INDEX'!J63)-1</f>
        <v>7.475083056478482E-3</v>
      </c>
      <c r="M33" s="5">
        <f>('CUMULS INDEX'!K62/'CUMULS INDEX'!K63)-1</f>
        <v>-1.8692575773576747E-2</v>
      </c>
      <c r="N33" s="5">
        <f>('CUMULS INDEX'!L62/'CUMULS INDEX'!L63)-1</f>
        <v>9.5607235142121105E-3</v>
      </c>
      <c r="O33" s="5">
        <f>('CUMULS INDEX'!M62/'CUMULS INDEX'!M63)-1</f>
        <v>9.1656874265568788E-3</v>
      </c>
      <c r="P33" s="5">
        <f>('CUMULS INDEX'!N62/'CUMULS INDEX'!N63)-1</f>
        <v>1.4614343707713084E-2</v>
      </c>
      <c r="Q33" s="5">
        <f>('CUMULS INDEX'!O62/'CUMULS INDEX'!O63)-1</f>
        <v>6.5807513024405129E-3</v>
      </c>
      <c r="R33" s="5">
        <f>('CUMULS INDEX'!P62/'CUMULS INDEX'!P63)-1</f>
        <v>-7.7034183919113541E-3</v>
      </c>
      <c r="S33" s="5">
        <f>('CUMULS INDEX'!Q62/'CUMULS INDEX'!Q63)-1</f>
        <v>3.1786216596342953E-2</v>
      </c>
      <c r="T33" s="5">
        <f>('CUMULS INDEX'!R62/'CUMULS INDEX'!R63)-1</f>
        <v>3.9115187483139913E-2</v>
      </c>
      <c r="U33" s="5">
        <f>('CUMULS INDEX'!S62/'CUMULS INDEX'!S63)-1</f>
        <v>9.7826086956520619E-3</v>
      </c>
      <c r="V33" s="5">
        <f>('CUMULS INDEX'!T62/'CUMULS INDEX'!T63)-1</f>
        <v>3.628486325480651E-2</v>
      </c>
      <c r="W33" s="5">
        <f>('CUMULS INDEX'!U62/'CUMULS INDEX'!U63)-1</f>
        <v>1.0446075663466781E-2</v>
      </c>
      <c r="X33" s="5">
        <f>('CUMULS INDEX'!V62/'CUMULS INDEX'!V63)-1</f>
        <v>1.0722347629796847E-2</v>
      </c>
      <c r="Y33" s="5">
        <f>('CUMULS INDEX'!W62/'CUMULS INDEX'!W63)-1</f>
        <v>6.6295669005564939E-2</v>
      </c>
      <c r="Z33" s="5">
        <f>('CUMULS INDEX'!X62/'CUMULS INDEX'!X63)-1</f>
        <v>1.096190737188274E-2</v>
      </c>
      <c r="AA33" s="5"/>
    </row>
    <row r="34" spans="1:27" x14ac:dyDescent="0.25">
      <c r="C34" t="s">
        <v>51</v>
      </c>
      <c r="D34" s="5">
        <f>('CUMULS INDEX'!B78/'CUMULS INDEX'!B79)-1</f>
        <v>6.8017767906718429E-2</v>
      </c>
      <c r="E34" s="5">
        <f>('CUMULS INDEX'!C78/'CUMULS INDEX'!C79)-1</f>
        <v>5.531858171154358E-2</v>
      </c>
      <c r="F34" s="5">
        <f>('CUMULS INDEX'!D78/'CUMULS INDEX'!D79)-1</f>
        <v>5.1724137931034475E-2</v>
      </c>
      <c r="G34" s="5">
        <f>('CUMULS INDEX'!E78/'CUMULS INDEX'!E79)-1</f>
        <v>6.7995310668229836E-2</v>
      </c>
      <c r="H34" s="5">
        <f>('CUMULS INDEX'!F78/'CUMULS INDEX'!F79)-1</f>
        <v>7.2420768712069927E-2</v>
      </c>
      <c r="I34" s="5">
        <f>('CUMULS INDEX'!G78/'CUMULS INDEX'!G79)-1</f>
        <v>5.6108347153123184E-2</v>
      </c>
      <c r="J34" s="5">
        <f>('CUMULS INDEX'!H78/'CUMULS INDEX'!H79)-1</f>
        <v>5.0732651368537329E-2</v>
      </c>
      <c r="K34" s="5">
        <f>('CUMULS INDEX'!I78/'CUMULS INDEX'!I79)-1</f>
        <v>9.0072057646116921E-2</v>
      </c>
      <c r="L34" s="5">
        <f>('CUMULS INDEX'!J78/'CUMULS INDEX'!J79)-1</f>
        <v>4.6924631822119478E-2</v>
      </c>
      <c r="M34" s="5">
        <f>('CUMULS INDEX'!K78/'CUMULS INDEX'!K79)-1</f>
        <v>0.12502998320940284</v>
      </c>
      <c r="N34" s="5">
        <f>('CUMULS INDEX'!L78/'CUMULS INDEX'!L79)-1</f>
        <v>8.6780324203465709E-2</v>
      </c>
      <c r="O34" s="5">
        <f>('CUMULS INDEX'!M78/'CUMULS INDEX'!M79)-1</f>
        <v>0.15200107802182994</v>
      </c>
      <c r="P34" s="5">
        <f>('CUMULS INDEX'!N78/'CUMULS INDEX'!N79)-1</f>
        <v>4.9189570119802628E-2</v>
      </c>
      <c r="Q34" s="5">
        <f>('CUMULS INDEX'!O78/'CUMULS INDEX'!O79)-1</f>
        <v>3.5077793493635046E-2</v>
      </c>
      <c r="R34" s="5">
        <f>('CUMULS INDEX'!P78/'CUMULS INDEX'!P79)-1</f>
        <v>7.1881880585416225E-2</v>
      </c>
      <c r="S34" s="5">
        <f>('CUMULS INDEX'!Q78/'CUMULS INDEX'!Q79)-1</f>
        <v>6.7543600354714739E-2</v>
      </c>
      <c r="T34" s="5">
        <f>('CUMULS INDEX'!R78/'CUMULS INDEX'!R79)-1</f>
        <v>9.3605324074074181E-2</v>
      </c>
      <c r="U34" s="5">
        <f>('CUMULS INDEX'!S78/'CUMULS INDEX'!S79)-1</f>
        <v>3.9494026704146146E-2</v>
      </c>
      <c r="V34" s="5">
        <f>('CUMULS INDEX'!T78/'CUMULS INDEX'!T79)-1</f>
        <v>7.3825503355704702E-2</v>
      </c>
      <c r="W34" s="5">
        <f>('CUMULS INDEX'!U78/'CUMULS INDEX'!U79)-1</f>
        <v>2.2691368662932643E-2</v>
      </c>
      <c r="X34" s="5">
        <f>('CUMULS INDEX'!V78/'CUMULS INDEX'!V79)-1</f>
        <v>2.1941775419475062E-2</v>
      </c>
      <c r="Y34" s="5">
        <f>('CUMULS INDEX'!W78/'CUMULS INDEX'!W79)-1</f>
        <v>2.7801179443976309E-2</v>
      </c>
      <c r="Z34" s="5">
        <f>('CUMULS INDEX'!X78/'CUMULS INDEX'!X79)-1</f>
        <v>3.0039303761931535E-2</v>
      </c>
      <c r="AA34" s="5"/>
    </row>
    <row r="35" spans="1:27" s="121" customFormat="1" x14ac:dyDescent="0.25">
      <c r="D35" s="5"/>
      <c r="E35" s="5"/>
    </row>
    <row r="36" spans="1:27" ht="18.75" x14ac:dyDescent="0.3">
      <c r="B36" s="244" t="s">
        <v>205</v>
      </c>
      <c r="C36" s="244"/>
      <c r="D36" s="244"/>
      <c r="E36" s="244"/>
      <c r="F36" s="244"/>
      <c r="G36" s="244"/>
      <c r="H36" s="244"/>
      <c r="I36" s="244"/>
      <c r="J36" s="244"/>
      <c r="K36" s="244"/>
      <c r="L36" s="244"/>
      <c r="M36" s="244"/>
    </row>
    <row r="37" spans="1:27" s="93" customFormat="1" x14ac:dyDescent="0.25">
      <c r="A37" s="3"/>
      <c r="B37" s="132"/>
      <c r="C37" s="132"/>
      <c r="D37" s="132"/>
      <c r="E37" s="132"/>
      <c r="G37" s="132"/>
      <c r="H37" s="132"/>
      <c r="I37" s="132"/>
      <c r="J37" s="3" t="str" cm="1">
        <f t="array" ref="J37:J38">'A MODIFIER'!A7:A8</f>
        <v>*3 mois = Cumul juil 2022-sept 2022 / Cumul avr 2022-juin 2022</v>
      </c>
      <c r="K37" s="132"/>
      <c r="L37" s="132"/>
    </row>
    <row r="38" spans="1:27" s="93" customFormat="1" x14ac:dyDescent="0.25">
      <c r="A38" s="3"/>
      <c r="B38" s="132"/>
      <c r="C38" s="132"/>
      <c r="D38" s="132"/>
      <c r="E38" s="132"/>
      <c r="G38" s="132"/>
      <c r="H38" s="132"/>
      <c r="I38" s="132"/>
      <c r="J38" s="3" t="str">
        <v>*6 mois = Cumul avr 2022-sept 2022 / Cumul oct 2021-mars 2022</v>
      </c>
      <c r="K38" s="132"/>
      <c r="L38" s="132"/>
    </row>
    <row r="39" spans="1:27" s="93" customFormat="1" x14ac:dyDescent="0.25">
      <c r="A39" s="121"/>
      <c r="B39" s="132"/>
      <c r="C39" s="132"/>
      <c r="D39" s="132"/>
      <c r="E39" s="132"/>
      <c r="F39" s="132"/>
      <c r="G39" s="132"/>
      <c r="H39" s="132"/>
      <c r="I39" s="132"/>
      <c r="J39" s="132"/>
      <c r="K39" s="132"/>
      <c r="L39" s="132"/>
      <c r="M39" s="132"/>
    </row>
    <row r="40" spans="1:27" x14ac:dyDescent="0.25">
      <c r="B40" s="251" t="s">
        <v>208</v>
      </c>
      <c r="C40" s="257"/>
      <c r="D40" s="257"/>
      <c r="E40" s="257"/>
      <c r="J40" s="251" t="s">
        <v>209</v>
      </c>
      <c r="K40" s="257"/>
      <c r="L40" s="257"/>
      <c r="M40" s="257"/>
    </row>
    <row r="41" spans="1:27" x14ac:dyDescent="0.25">
      <c r="D41" s="22" t="s">
        <v>48</v>
      </c>
      <c r="E41" s="22" t="s">
        <v>49</v>
      </c>
      <c r="L41" s="22" t="s">
        <v>48</v>
      </c>
      <c r="M41" s="22" t="s">
        <v>49</v>
      </c>
    </row>
    <row r="42" spans="1:27" x14ac:dyDescent="0.25">
      <c r="A42" s="39" t="s">
        <v>96</v>
      </c>
      <c r="B42" t="s">
        <v>56</v>
      </c>
      <c r="C42" t="s">
        <v>134</v>
      </c>
      <c r="D42" s="5" cm="1">
        <f t="array" ref="D42:D82">TRANSPOSE('3-6 MOIS GLISSANTS'!D85:AR85)</f>
        <v>3.0597234480729485E-2</v>
      </c>
      <c r="E42" s="5" cm="1">
        <f t="array" ref="E42:E82">TRANSPOSE('3-6 MOIS GLISSANTS'!D86:AR86)</f>
        <v>4.4649614045709107E-2</v>
      </c>
      <c r="J42" t="str" cm="1">
        <f t="array" ref="J42:M82">_xlfn._xlws.SORT(B42:E82,3,-1,FALSE)</f>
        <v>010534776</v>
      </c>
      <c r="K42" t="str">
        <v>Gaz naturel</v>
      </c>
      <c r="L42" s="5">
        <v>0.54948535233570839</v>
      </c>
      <c r="M42" s="5">
        <v>0.45761816741484029</v>
      </c>
    </row>
    <row r="43" spans="1:27" x14ac:dyDescent="0.25">
      <c r="A43" s="39" t="s">
        <v>97</v>
      </c>
      <c r="B43" t="s">
        <v>57</v>
      </c>
      <c r="C43" t="s">
        <v>135</v>
      </c>
      <c r="D43" s="5">
        <v>1.8898488120950852E-3</v>
      </c>
      <c r="E43" s="5">
        <v>7.6097295828236877E-3</v>
      </c>
      <c r="J43" t="str">
        <v>010534180</v>
      </c>
      <c r="K43" t="str">
        <v>Peintures Industries</v>
      </c>
      <c r="L43" s="5">
        <v>0.11947461480171762</v>
      </c>
      <c r="M43" s="5">
        <v>0.10977383943922736</v>
      </c>
    </row>
    <row r="44" spans="1:27" x14ac:dyDescent="0.25">
      <c r="A44" s="39" t="s">
        <v>98</v>
      </c>
      <c r="B44" t="s">
        <v>58</v>
      </c>
      <c r="C44" t="s">
        <v>136</v>
      </c>
      <c r="D44" s="5">
        <v>2.6631158455392434E-3</v>
      </c>
      <c r="E44" s="5">
        <v>1.4160485502360043E-2</v>
      </c>
      <c r="J44" t="str">
        <v>010534654</v>
      </c>
      <c r="K44" t="str">
        <v>Tubes, tuyaux, profilés creux et accessoires correspondants en acier</v>
      </c>
      <c r="L44" s="5">
        <v>8.8774072334429244E-2</v>
      </c>
      <c r="M44" s="5">
        <v>0.16811137378513252</v>
      </c>
    </row>
    <row r="45" spans="1:27" x14ac:dyDescent="0.25">
      <c r="A45" s="39" t="s">
        <v>281</v>
      </c>
      <c r="B45" s="94" t="s">
        <v>280</v>
      </c>
      <c r="C45" t="s">
        <v>137</v>
      </c>
      <c r="D45" s="5">
        <v>-5.712849723571789E-2</v>
      </c>
      <c r="E45" s="5">
        <v>0.179321999161556</v>
      </c>
      <c r="J45" t="str">
        <v>010760506</v>
      </c>
      <c r="K45" t="str">
        <v>Réseaux d’assainissement</v>
      </c>
      <c r="L45" s="5">
        <v>6.3993174061433455E-2</v>
      </c>
      <c r="M45" s="5">
        <v>6.5878590464909736E-2</v>
      </c>
    </row>
    <row r="46" spans="1:27" x14ac:dyDescent="0.25">
      <c r="A46" s="39" t="s">
        <v>99</v>
      </c>
      <c r="B46" t="s">
        <v>59</v>
      </c>
      <c r="C46" t="s">
        <v>138</v>
      </c>
      <c r="D46" s="5">
        <v>-4.0537550043253434E-2</v>
      </c>
      <c r="E46" s="5">
        <v>0.14277836442567171</v>
      </c>
      <c r="J46" t="str">
        <v>010534645</v>
      </c>
      <c r="K46" t="str">
        <v>Éléments en béton pour la construction</v>
      </c>
      <c r="L46" s="5">
        <v>5.9336823734729593E-2</v>
      </c>
      <c r="M46" s="5">
        <v>8.1741787624140416E-2</v>
      </c>
    </row>
    <row r="47" spans="1:27" x14ac:dyDescent="0.25">
      <c r="A47" s="39" t="s">
        <v>100</v>
      </c>
      <c r="B47" t="s">
        <v>60</v>
      </c>
      <c r="C47" t="s">
        <v>139</v>
      </c>
      <c r="D47" s="5">
        <v>3.372478169226123E-2</v>
      </c>
      <c r="E47" s="5">
        <v>5.679862306368344E-2</v>
      </c>
      <c r="F47" s="5"/>
      <c r="J47" t="str">
        <v>010534638</v>
      </c>
      <c r="K47" t="str">
        <v>Tuiles, briques et produits de construction en terre cuite</v>
      </c>
      <c r="L47" s="5">
        <v>5.1855751513556259E-2</v>
      </c>
      <c r="M47" s="5">
        <v>0.1773146050445551</v>
      </c>
    </row>
    <row r="48" spans="1:27" x14ac:dyDescent="0.25">
      <c r="A48" s="39" t="s">
        <v>101</v>
      </c>
      <c r="B48" t="s">
        <v>61</v>
      </c>
      <c r="C48" t="s">
        <v>140</v>
      </c>
      <c r="D48" s="5">
        <v>1.7376194613379692E-2</v>
      </c>
      <c r="E48" s="5">
        <v>4.5004500450045226E-2</v>
      </c>
      <c r="J48" t="str">
        <v>010534662</v>
      </c>
      <c r="K48" t="str">
        <v>Travaux de fonderie de fonte</v>
      </c>
      <c r="L48" s="5">
        <v>5.1040221914008255E-2</v>
      </c>
      <c r="M48" s="5">
        <v>0.1410493827160495</v>
      </c>
    </row>
    <row r="49" spans="1:13" x14ac:dyDescent="0.25">
      <c r="A49" s="39" t="s">
        <v>102</v>
      </c>
      <c r="B49" t="s">
        <v>62</v>
      </c>
      <c r="C49" t="s">
        <v>141</v>
      </c>
      <c r="D49" s="5">
        <v>-0.12578012481997114</v>
      </c>
      <c r="E49" s="5">
        <v>-9.3673824724318289E-2</v>
      </c>
      <c r="J49" t="str">
        <v>001763781</v>
      </c>
      <c r="K49" t="str">
        <v>Restaurants et hôtels</v>
      </c>
      <c r="L49" s="5">
        <v>4.8885863936318108E-2</v>
      </c>
      <c r="M49" s="5">
        <v>4.9919631213416915E-2</v>
      </c>
    </row>
    <row r="50" spans="1:13" x14ac:dyDescent="0.25">
      <c r="A50" s="223" t="s">
        <v>297</v>
      </c>
      <c r="B50" s="221" t="s">
        <v>296</v>
      </c>
      <c r="C50" t="s">
        <v>294</v>
      </c>
      <c r="D50" s="5">
        <v>0.54948535233570839</v>
      </c>
      <c r="E50" s="5">
        <v>0.45761816741484029</v>
      </c>
      <c r="J50" t="str">
        <v>010534642</v>
      </c>
      <c r="K50" t="str">
        <v>Ciment, chaux et plâtre</v>
      </c>
      <c r="L50" s="5">
        <v>4.8378661087866037E-2</v>
      </c>
      <c r="M50" s="5">
        <v>0.13670004353504583</v>
      </c>
    </row>
    <row r="51" spans="1:13" x14ac:dyDescent="0.25">
      <c r="A51" s="39" t="s">
        <v>104</v>
      </c>
      <c r="B51" t="s">
        <v>64</v>
      </c>
      <c r="C51" t="s">
        <v>64</v>
      </c>
      <c r="D51" s="5">
        <v>-7.3568486780922204E-2</v>
      </c>
      <c r="E51" s="5">
        <v>0.24151290723061747</v>
      </c>
      <c r="J51" t="str">
        <v>001711011</v>
      </c>
      <c r="K51" t="str">
        <v>Frais divers</v>
      </c>
      <c r="L51" s="5">
        <v>3.372478169226123E-2</v>
      </c>
      <c r="M51" s="5">
        <v>5.679862306368344E-2</v>
      </c>
    </row>
    <row r="52" spans="1:13" x14ac:dyDescent="0.25">
      <c r="A52" s="39" t="s">
        <v>105</v>
      </c>
      <c r="B52" t="s">
        <v>65</v>
      </c>
      <c r="C52" t="s">
        <v>142</v>
      </c>
      <c r="D52" s="5">
        <v>1.2391573729863659E-2</v>
      </c>
      <c r="E52" s="5">
        <v>7.8066914498141182E-2</v>
      </c>
      <c r="J52" t="str">
        <v>001711009</v>
      </c>
      <c r="K52" t="str">
        <v>Matériel</v>
      </c>
      <c r="L52" s="5">
        <v>3.0597234480729485E-2</v>
      </c>
      <c r="M52" s="5">
        <v>4.4649614045709107E-2</v>
      </c>
    </row>
    <row r="53" spans="1:13" x14ac:dyDescent="0.25">
      <c r="A53" s="39" t="s">
        <v>106</v>
      </c>
      <c r="B53" t="s">
        <v>66</v>
      </c>
      <c r="C53" t="s">
        <v>143</v>
      </c>
      <c r="D53" s="5">
        <v>8.3090984628153564E-4</v>
      </c>
      <c r="E53" s="5">
        <v>7.6802683063163846E-2</v>
      </c>
      <c r="J53" t="str">
        <v>010534646</v>
      </c>
      <c r="K53" t="str">
        <v>Béton prêt à l'emploi</v>
      </c>
      <c r="L53" s="5">
        <v>2.5602857993450412E-2</v>
      </c>
      <c r="M53" s="5">
        <v>4.8382126348228027E-2</v>
      </c>
    </row>
    <row r="54" spans="1:13" x14ac:dyDescent="0.25">
      <c r="A54" s="39" t="s">
        <v>107</v>
      </c>
      <c r="B54" t="s">
        <v>67</v>
      </c>
      <c r="C54" t="s">
        <v>144</v>
      </c>
      <c r="D54" s="5">
        <v>2.5602857993450412E-2</v>
      </c>
      <c r="E54" s="5">
        <v>4.8382126348228027E-2</v>
      </c>
      <c r="J54" t="str">
        <v>010536067</v>
      </c>
      <c r="K54" t="str">
        <v>Sables et granulats</v>
      </c>
      <c r="L54" s="5">
        <v>2.2433927473878512E-2</v>
      </c>
      <c r="M54" s="5">
        <v>4.8430779034570381E-2</v>
      </c>
    </row>
    <row r="55" spans="1:13" x14ac:dyDescent="0.25">
      <c r="A55" s="39" t="s">
        <v>108</v>
      </c>
      <c r="B55" t="s">
        <v>68</v>
      </c>
      <c r="C55" t="s">
        <v>145</v>
      </c>
      <c r="D55" s="5">
        <v>-7.5882504509147242E-2</v>
      </c>
      <c r="E55" s="5">
        <v>0.26236159242667578</v>
      </c>
      <c r="J55" t="str">
        <v>010534647</v>
      </c>
      <c r="K55" t="str">
        <v>Mortiers et bétons secs</v>
      </c>
      <c r="L55" s="5">
        <v>2.2351500306184935E-2</v>
      </c>
      <c r="M55" s="5">
        <v>6.206785656858016E-2</v>
      </c>
    </row>
    <row r="56" spans="1:13" x14ac:dyDescent="0.25">
      <c r="A56" s="39" t="s">
        <v>109</v>
      </c>
      <c r="B56" t="s">
        <v>69</v>
      </c>
      <c r="C56" t="s">
        <v>146</v>
      </c>
      <c r="D56" s="5">
        <v>2.2433927473878512E-2</v>
      </c>
      <c r="E56" s="5">
        <v>4.8430779034570381E-2</v>
      </c>
      <c r="J56" t="str">
        <v>010534696</v>
      </c>
      <c r="K56" t="str">
        <v>Moteurs, génératrices, transfo. électr., matér. distrib., cmde électr.</v>
      </c>
      <c r="L56" s="5">
        <v>2.1517883105554025E-2</v>
      </c>
      <c r="M56" s="5">
        <v>5.8787694182150574E-2</v>
      </c>
    </row>
    <row r="57" spans="1:13" x14ac:dyDescent="0.25">
      <c r="A57" s="39" t="s">
        <v>110</v>
      </c>
      <c r="B57" t="s">
        <v>70</v>
      </c>
      <c r="C57" t="s">
        <v>147</v>
      </c>
      <c r="D57" s="5">
        <v>9.2098885118760965E-3</v>
      </c>
      <c r="E57" s="5">
        <v>0.10533333333333328</v>
      </c>
      <c r="J57" t="str">
        <v>010534252</v>
      </c>
      <c r="K57" t="str">
        <v>Produits de voierie en béton</v>
      </c>
      <c r="L57" s="5">
        <v>2.0532741398446186E-2</v>
      </c>
      <c r="M57" s="5">
        <v>5.9508220573257775E-2</v>
      </c>
    </row>
    <row r="58" spans="1:13" x14ac:dyDescent="0.25">
      <c r="A58" s="39" t="s">
        <v>111</v>
      </c>
      <c r="B58" t="s">
        <v>71</v>
      </c>
      <c r="C58" t="s">
        <v>148</v>
      </c>
      <c r="D58" s="5">
        <v>4.8378661087866037E-2</v>
      </c>
      <c r="E58" s="5">
        <v>0.13670004353504583</v>
      </c>
      <c r="J58" t="str">
        <v>010534698</v>
      </c>
      <c r="K58" t="str">
        <v>Matériel de distribution et de commande électrique</v>
      </c>
      <c r="L58" s="5">
        <v>1.9976838448176215E-2</v>
      </c>
      <c r="M58" s="5">
        <v>5.6480920654149003E-2</v>
      </c>
    </row>
    <row r="59" spans="1:13" x14ac:dyDescent="0.25">
      <c r="A59" s="39" t="s">
        <v>285</v>
      </c>
      <c r="B59" s="94" t="s">
        <v>284</v>
      </c>
      <c r="C59" t="s">
        <v>287</v>
      </c>
      <c r="D59" s="5">
        <v>-7.5698757763976721E-3</v>
      </c>
      <c r="E59" s="5">
        <v>0.16054267947993206</v>
      </c>
      <c r="J59" t="str">
        <v>001711943</v>
      </c>
      <c r="K59" t="str">
        <v>Transports routiers</v>
      </c>
      <c r="L59" s="5">
        <v>1.7376194613379692E-2</v>
      </c>
      <c r="M59" s="5">
        <v>4.5004500450045226E-2</v>
      </c>
    </row>
    <row r="60" spans="1:13" x14ac:dyDescent="0.25">
      <c r="A60" s="39" t="s">
        <v>112</v>
      </c>
      <c r="B60" t="s">
        <v>73</v>
      </c>
      <c r="C60" t="s">
        <v>149</v>
      </c>
      <c r="D60" s="5">
        <v>-2.1750524109014679E-2</v>
      </c>
      <c r="E60" s="5">
        <v>0.28438962143768598</v>
      </c>
      <c r="J60" t="str">
        <v>010534702</v>
      </c>
      <c r="K60" t="str">
        <v>Appareils d'éclairage électrique</v>
      </c>
      <c r="L60" s="5">
        <v>1.556806889698592E-2</v>
      </c>
      <c r="M60" s="5">
        <v>3.6273841961852682E-2</v>
      </c>
    </row>
    <row r="61" spans="1:13" x14ac:dyDescent="0.25">
      <c r="A61" s="39" t="s">
        <v>113</v>
      </c>
      <c r="B61" t="s">
        <v>74</v>
      </c>
      <c r="C61" t="s">
        <v>150</v>
      </c>
      <c r="D61" s="5">
        <v>-0.12173117154811708</v>
      </c>
      <c r="E61" s="5">
        <v>0.24652898299201653</v>
      </c>
      <c r="J61" t="str">
        <v>010534330</v>
      </c>
      <c r="K61" t="str">
        <v>Fils et câbles d'énergie</v>
      </c>
      <c r="L61" s="5">
        <v>1.2977819726285977E-2</v>
      </c>
      <c r="M61" s="5">
        <v>9.5825305073860001E-2</v>
      </c>
    </row>
    <row r="62" spans="1:13" x14ac:dyDescent="0.25">
      <c r="A62" s="39" t="s">
        <v>114</v>
      </c>
      <c r="B62" t="s">
        <v>75</v>
      </c>
      <c r="C62" t="s">
        <v>151</v>
      </c>
      <c r="D62" s="5">
        <v>2.0532741398446186E-2</v>
      </c>
      <c r="E62" s="5">
        <v>5.9508220573257775E-2</v>
      </c>
      <c r="J62" t="str">
        <v>010534667</v>
      </c>
      <c r="K62" t="str">
        <v>Éléments en métal pour la construction</v>
      </c>
      <c r="L62" s="5">
        <v>1.251877816725111E-2</v>
      </c>
      <c r="M62" s="5">
        <v>6.9167331737164162E-2</v>
      </c>
    </row>
    <row r="63" spans="1:13" x14ac:dyDescent="0.25">
      <c r="A63" s="39" t="s">
        <v>115</v>
      </c>
      <c r="B63" t="s">
        <v>76</v>
      </c>
      <c r="C63" t="s">
        <v>152</v>
      </c>
      <c r="D63" s="5">
        <v>2.2351500306184935E-2</v>
      </c>
      <c r="E63" s="5">
        <v>6.206785656858016E-2</v>
      </c>
      <c r="J63" t="str">
        <v>010534207</v>
      </c>
      <c r="K63" t="str">
        <v>Tubes, tuyaux en matière plastique</v>
      </c>
      <c r="L63" s="5">
        <v>1.2391573729863659E-2</v>
      </c>
      <c r="M63" s="5">
        <v>7.8066914498141182E-2</v>
      </c>
    </row>
    <row r="64" spans="1:13" x14ac:dyDescent="0.25">
      <c r="A64" s="39" t="s">
        <v>116</v>
      </c>
      <c r="B64" t="s">
        <v>77</v>
      </c>
      <c r="C64" t="s">
        <v>153</v>
      </c>
      <c r="D64" s="5">
        <v>5.1040221914008255E-2</v>
      </c>
      <c r="E64" s="5">
        <v>0.1410493827160495</v>
      </c>
      <c r="J64" t="str">
        <v>010535345</v>
      </c>
      <c r="K64" t="str">
        <v>Câbles de fibres optiques</v>
      </c>
      <c r="L64" s="5">
        <v>9.6494049533613069E-3</v>
      </c>
      <c r="M64" s="5">
        <v>1.3956507627393533E-2</v>
      </c>
    </row>
    <row r="65" spans="1:13" x14ac:dyDescent="0.25">
      <c r="A65" s="39" t="s">
        <v>117</v>
      </c>
      <c r="B65" t="s">
        <v>78</v>
      </c>
      <c r="C65" t="s">
        <v>154</v>
      </c>
      <c r="D65" s="5">
        <v>5.1855751513556259E-2</v>
      </c>
      <c r="E65" s="5">
        <v>0.1773146050445551</v>
      </c>
      <c r="J65" t="str">
        <v>010534625</v>
      </c>
      <c r="K65" t="str">
        <v>Plaques, feuilles, tubes et profilés en matières plastiques</v>
      </c>
      <c r="L65" s="5">
        <v>9.2098885118760965E-3</v>
      </c>
      <c r="M65" s="5">
        <v>0.10533333333333328</v>
      </c>
    </row>
    <row r="66" spans="1:13" x14ac:dyDescent="0.25">
      <c r="A66" s="39" t="s">
        <v>299</v>
      </c>
      <c r="B66" s="228" t="s">
        <v>300</v>
      </c>
      <c r="C66" s="224" t="s">
        <v>298</v>
      </c>
      <c r="D66" s="5">
        <v>6.3993174061433455E-2</v>
      </c>
      <c r="E66" s="5">
        <v>6.5878590464909736E-2</v>
      </c>
      <c r="J66" t="str">
        <v>010534554</v>
      </c>
      <c r="K66" t="str">
        <v>Autres textiles</v>
      </c>
      <c r="L66" s="5">
        <v>7.1002556092019109E-3</v>
      </c>
      <c r="M66" s="5">
        <v>4.1408782788092902E-2</v>
      </c>
    </row>
    <row r="67" spans="1:13" x14ac:dyDescent="0.25">
      <c r="A67" s="39" t="s">
        <v>118</v>
      </c>
      <c r="B67" s="94" t="s">
        <v>290</v>
      </c>
      <c r="C67" t="s">
        <v>291</v>
      </c>
      <c r="D67" s="5">
        <v>7.1002556092019109E-3</v>
      </c>
      <c r="E67" s="5">
        <v>4.1408782788092902E-2</v>
      </c>
      <c r="J67" t="str">
        <v>010534789</v>
      </c>
      <c r="K67" t="str">
        <v>Traitement et élimination des déchets non dangereux</v>
      </c>
      <c r="L67" s="5">
        <v>5.5205047318611644E-3</v>
      </c>
      <c r="M67" s="5">
        <v>4.0223616034906096E-2</v>
      </c>
    </row>
    <row r="68" spans="1:13" x14ac:dyDescent="0.25">
      <c r="A68" s="39" t="s">
        <v>119</v>
      </c>
      <c r="B68" t="s">
        <v>81</v>
      </c>
      <c r="C68" t="s">
        <v>156</v>
      </c>
      <c r="D68" s="5">
        <v>-4.3709616115545469E-2</v>
      </c>
      <c r="E68" s="5">
        <v>0.13808734107241571</v>
      </c>
      <c r="J68" t="str">
        <v>001565195</v>
      </c>
      <c r="K68" t="str">
        <v>Travail activités spécialisées</v>
      </c>
      <c r="L68" s="5">
        <v>2.6631158455392434E-3</v>
      </c>
      <c r="M68" s="5">
        <v>1.4160485502360043E-2</v>
      </c>
    </row>
    <row r="69" spans="1:13" x14ac:dyDescent="0.25">
      <c r="A69" s="39" t="s">
        <v>120</v>
      </c>
      <c r="B69" t="s">
        <v>82</v>
      </c>
      <c r="C69" t="s">
        <v>157</v>
      </c>
      <c r="D69" s="5">
        <v>8.8774072334429244E-2</v>
      </c>
      <c r="E69" s="5">
        <v>0.16811137378513252</v>
      </c>
      <c r="J69" t="str">
        <v>5540998</v>
      </c>
      <c r="K69" t="str">
        <v>Travail</v>
      </c>
      <c r="L69" s="5">
        <v>1.8898488120950852E-3</v>
      </c>
      <c r="M69" s="5">
        <v>7.6097295828236877E-3</v>
      </c>
    </row>
    <row r="70" spans="1:13" x14ac:dyDescent="0.25">
      <c r="A70" s="39" t="s">
        <v>121</v>
      </c>
      <c r="B70" t="s">
        <v>83</v>
      </c>
      <c r="C70" t="s">
        <v>158</v>
      </c>
      <c r="D70" s="5">
        <v>5.9336823734729593E-2</v>
      </c>
      <c r="E70" s="5">
        <v>8.1741787624140416E-2</v>
      </c>
      <c r="J70" t="str">
        <v>010534575</v>
      </c>
      <c r="K70" t="str">
        <v>Ensemble des produits du sciage</v>
      </c>
      <c r="L70" s="5">
        <v>8.3090984628153564E-4</v>
      </c>
      <c r="M70" s="5">
        <v>7.6802683063163846E-2</v>
      </c>
    </row>
    <row r="71" spans="1:13" x14ac:dyDescent="0.25">
      <c r="A71" s="39" t="s">
        <v>122</v>
      </c>
      <c r="B71" t="s">
        <v>84</v>
      </c>
      <c r="C71" t="s">
        <v>159</v>
      </c>
      <c r="D71" s="5">
        <v>1.2977819726285977E-2</v>
      </c>
      <c r="E71" s="5">
        <v>9.5825305073860001E-2</v>
      </c>
      <c r="J71" t="str">
        <v>010536480</v>
      </c>
      <c r="K71" t="str">
        <v>Tôles quarto et autres produits plats en aciers non alliés de qualité</v>
      </c>
      <c r="L71" s="5">
        <v>-9.0187590187607025E-4</v>
      </c>
      <c r="M71" s="5">
        <v>2.506474287828353E-2</v>
      </c>
    </row>
    <row r="72" spans="1:13" x14ac:dyDescent="0.25">
      <c r="A72" s="39" t="s">
        <v>123</v>
      </c>
      <c r="B72" t="s">
        <v>85</v>
      </c>
      <c r="C72" t="s">
        <v>160</v>
      </c>
      <c r="D72" s="5">
        <v>2.1517883105554025E-2</v>
      </c>
      <c r="E72" s="5">
        <v>5.8787694182150574E-2</v>
      </c>
      <c r="J72" t="str">
        <v>010534613</v>
      </c>
      <c r="K72" t="str">
        <v>Autres produits explosifs</v>
      </c>
      <c r="L72" s="5">
        <v>-7.5698757763976721E-3</v>
      </c>
      <c r="M72" s="5">
        <v>0.16054267947993206</v>
      </c>
    </row>
    <row r="73" spans="1:13" x14ac:dyDescent="0.25">
      <c r="A73" s="39" t="s">
        <v>124</v>
      </c>
      <c r="B73" t="s">
        <v>86</v>
      </c>
      <c r="C73" t="s">
        <v>161</v>
      </c>
      <c r="D73" s="5">
        <v>1.9976838448176215E-2</v>
      </c>
      <c r="E73" s="5">
        <v>5.6480920654149003E-2</v>
      </c>
      <c r="J73" t="str">
        <v>010536462</v>
      </c>
      <c r="K73" t="str">
        <v>Acier pour la construction</v>
      </c>
      <c r="L73" s="5">
        <v>-2.1750524109014679E-2</v>
      </c>
      <c r="M73" s="5">
        <v>0.28438962143768598</v>
      </c>
    </row>
    <row r="74" spans="1:13" x14ac:dyDescent="0.25">
      <c r="A74" s="39" t="s">
        <v>125</v>
      </c>
      <c r="B74" t="s">
        <v>87</v>
      </c>
      <c r="C74" t="s">
        <v>162</v>
      </c>
      <c r="D74" s="5">
        <v>1.556806889698592E-2</v>
      </c>
      <c r="E74" s="5">
        <v>3.6273841961852682E-2</v>
      </c>
      <c r="J74" t="str">
        <v>001764283</v>
      </c>
      <c r="K74" t="str">
        <v>Gazole</v>
      </c>
      <c r="L74" s="5">
        <v>-4.0537550043253434E-2</v>
      </c>
      <c r="M74" s="5">
        <v>0.14277836442567171</v>
      </c>
    </row>
    <row r="75" spans="1:13" x14ac:dyDescent="0.25">
      <c r="A75" s="39" t="s">
        <v>126</v>
      </c>
      <c r="B75" t="s">
        <v>88</v>
      </c>
      <c r="C75" t="s">
        <v>163</v>
      </c>
      <c r="D75" s="5">
        <v>9.6494049533613069E-3</v>
      </c>
      <c r="E75" s="5">
        <v>1.3956507627393533E-2</v>
      </c>
      <c r="J75" t="str">
        <v>010534606</v>
      </c>
      <c r="K75" t="str">
        <v>Matières plastiques sous formes primaires</v>
      </c>
      <c r="L75" s="5">
        <v>-4.3709616115545469E-2</v>
      </c>
      <c r="M75" s="5">
        <v>0.13808734107241571</v>
      </c>
    </row>
    <row r="76" spans="1:13" x14ac:dyDescent="0.25">
      <c r="A76" s="39" t="s">
        <v>127</v>
      </c>
      <c r="B76" t="s">
        <v>89</v>
      </c>
      <c r="C76" t="s">
        <v>164</v>
      </c>
      <c r="D76" s="5">
        <v>0.11947461480171762</v>
      </c>
      <c r="E76" s="5">
        <v>0.10977383943922736</v>
      </c>
      <c r="J76" t="str">
        <v>010534267</v>
      </c>
      <c r="K76" t="str">
        <v>Produits sidérurgiques en acier non allié</v>
      </c>
      <c r="L76" s="5">
        <v>-5.0373134328358105E-2</v>
      </c>
      <c r="M76" s="5">
        <v>0.17319861196162489</v>
      </c>
    </row>
    <row r="77" spans="1:13" x14ac:dyDescent="0.25">
      <c r="A77" s="39" t="s">
        <v>128</v>
      </c>
      <c r="B77" t="s">
        <v>90</v>
      </c>
      <c r="C77" t="s">
        <v>165</v>
      </c>
      <c r="D77" s="5">
        <v>-5.0373134328358105E-2</v>
      </c>
      <c r="E77" s="5">
        <v>0.17319861196162489</v>
      </c>
      <c r="J77" t="str">
        <v>010758171</v>
      </c>
      <c r="K77" t="str">
        <v>GNR</v>
      </c>
      <c r="L77" s="5">
        <v>-5.712849723571789E-2</v>
      </c>
      <c r="M77" s="5">
        <v>0.179321999161556</v>
      </c>
    </row>
    <row r="78" spans="1:13" x14ac:dyDescent="0.25">
      <c r="A78" s="39" t="s">
        <v>129</v>
      </c>
      <c r="B78" t="s">
        <v>91</v>
      </c>
      <c r="C78" t="s">
        <v>166</v>
      </c>
      <c r="D78" s="5">
        <v>-9.0187590187607025E-4</v>
      </c>
      <c r="E78" s="5">
        <v>2.506474287828353E-2</v>
      </c>
      <c r="J78" t="str">
        <v>Gazole routier HTT</v>
      </c>
      <c r="K78" t="str">
        <v>Gazole routier HTT</v>
      </c>
      <c r="L78" s="5">
        <v>-7.3568486780922204E-2</v>
      </c>
      <c r="M78" s="5">
        <v>0.24151290723061747</v>
      </c>
    </row>
    <row r="79" spans="1:13" x14ac:dyDescent="0.25">
      <c r="A79" s="39" t="s">
        <v>130</v>
      </c>
      <c r="B79" t="s">
        <v>92</v>
      </c>
      <c r="C79" t="s">
        <v>167</v>
      </c>
      <c r="D79" s="5">
        <v>1.251877816725111E-2</v>
      </c>
      <c r="E79" s="5">
        <v>6.9167331737164162E-2</v>
      </c>
      <c r="J79" t="str">
        <v>010546545</v>
      </c>
      <c r="K79" t="str">
        <v>Barres crénelées ou nervurées pour béton armé</v>
      </c>
      <c r="L79" s="5">
        <v>-7.5882504509147242E-2</v>
      </c>
      <c r="M79" s="5">
        <v>0.26236159242667578</v>
      </c>
    </row>
    <row r="80" spans="1:13" x14ac:dyDescent="0.25">
      <c r="A80" s="39" t="s">
        <v>131</v>
      </c>
      <c r="B80" t="s">
        <v>93</v>
      </c>
      <c r="C80" t="s">
        <v>168</v>
      </c>
      <c r="D80" s="5">
        <v>4.8885863936318108E-2</v>
      </c>
      <c r="E80" s="5">
        <v>4.9919631213416915E-2</v>
      </c>
      <c r="J80" t="str">
        <v>010534784</v>
      </c>
      <c r="K80" t="str">
        <v>Collecte, traitement et élimination des déchets ; récupération de matériaux</v>
      </c>
      <c r="L80" s="5">
        <v>-7.7086781745093313E-2</v>
      </c>
      <c r="M80" s="5">
        <v>7.4666314259283828E-2</v>
      </c>
    </row>
    <row r="81" spans="1:44" x14ac:dyDescent="0.25">
      <c r="A81" s="39" t="s">
        <v>132</v>
      </c>
      <c r="B81" t="s">
        <v>94</v>
      </c>
      <c r="C81" t="s">
        <v>169</v>
      </c>
      <c r="D81" s="5">
        <v>5.5205047318611644E-3</v>
      </c>
      <c r="E81" s="5">
        <v>4.0223616034906096E-2</v>
      </c>
      <c r="J81" t="str">
        <v>010534598</v>
      </c>
      <c r="K81" t="str">
        <v>Bitume</v>
      </c>
      <c r="L81" s="5">
        <v>-0.12173117154811708</v>
      </c>
      <c r="M81" s="5">
        <v>0.24652898299201653</v>
      </c>
    </row>
    <row r="82" spans="1:44" x14ac:dyDescent="0.25">
      <c r="A82" s="39" t="s">
        <v>133</v>
      </c>
      <c r="B82" t="s">
        <v>95</v>
      </c>
      <c r="C82" t="s">
        <v>170</v>
      </c>
      <c r="D82" s="5">
        <v>-7.7086781745093313E-2</v>
      </c>
      <c r="E82" s="5">
        <v>7.4666314259283828E-2</v>
      </c>
      <c r="J82" t="str">
        <v>010534769</v>
      </c>
      <c r="K82" t="str">
        <v>Électricité vendue aux entreprises consommatrices finales</v>
      </c>
      <c r="L82" s="5">
        <v>-0.12578012481997114</v>
      </c>
      <c r="M82" s="5">
        <v>-9.3673824724318289E-2</v>
      </c>
    </row>
    <row r="84" spans="1:44" x14ac:dyDescent="0.25">
      <c r="C84" s="130"/>
      <c r="D84" s="131" t="str" cm="1">
        <f t="array" ref="D84:AR84">TRANSPOSE('3-6 MOIS GLISSANTS'!C42:C82)</f>
        <v>Matériel</v>
      </c>
      <c r="E84" s="131" t="str">
        <v>Travail</v>
      </c>
      <c r="F84" s="131" t="str">
        <v>Travail activités spécialisées</v>
      </c>
      <c r="G84" s="131" t="str">
        <v>GNR</v>
      </c>
      <c r="H84" s="131" t="str">
        <v>Gazole</v>
      </c>
      <c r="I84" s="131" t="str">
        <v>Frais divers</v>
      </c>
      <c r="J84" s="131" t="str">
        <v>Transports routiers</v>
      </c>
      <c r="K84" s="131" t="str">
        <v>Électricité vendue aux entreprises consommatrices finales</v>
      </c>
      <c r="L84" s="131" t="str">
        <v>Gaz naturel</v>
      </c>
      <c r="M84" s="131" t="str">
        <v>Gazole routier HTT</v>
      </c>
      <c r="N84" s="131" t="str">
        <v>Tubes, tuyaux en matière plastique</v>
      </c>
      <c r="O84" s="131" t="str">
        <v>Ensemble des produits du sciage</v>
      </c>
      <c r="P84" s="131" t="str">
        <v>Béton prêt à l'emploi</v>
      </c>
      <c r="Q84" s="131" t="str">
        <v>Barres crénelées ou nervurées pour béton armé</v>
      </c>
      <c r="R84" s="131" t="str">
        <v>Sables et granulats</v>
      </c>
      <c r="S84" s="131" t="str">
        <v>Plaques, feuilles, tubes et profilés en matières plastiques</v>
      </c>
      <c r="T84" s="131" t="str">
        <v>Ciment, chaux et plâtre</v>
      </c>
      <c r="U84" s="131" t="str">
        <v>Autres produits explosifs</v>
      </c>
      <c r="V84" s="131" t="str">
        <v>Acier pour la construction</v>
      </c>
      <c r="W84" s="131" t="str">
        <v>Bitume</v>
      </c>
      <c r="X84" s="131" t="str">
        <v>Produits de voierie en béton</v>
      </c>
      <c r="Y84" s="131" t="str">
        <v>Mortiers et bétons secs</v>
      </c>
      <c r="Z84" s="131" t="str">
        <v>Travaux de fonderie de fonte</v>
      </c>
      <c r="AA84" s="131" t="str">
        <v>Tuiles, briques et produits de construction en terre cuite</v>
      </c>
      <c r="AB84" s="131" t="str">
        <v>Réseaux d’assainissement</v>
      </c>
      <c r="AC84" s="131" t="str">
        <v>Autres textiles</v>
      </c>
      <c r="AD84" s="131" t="str">
        <v>Matières plastiques sous formes primaires</v>
      </c>
      <c r="AE84" s="131" t="str">
        <v>Tubes, tuyaux, profilés creux et accessoires correspondants en acier</v>
      </c>
      <c r="AF84" s="131" t="str">
        <v>Éléments en béton pour la construction</v>
      </c>
      <c r="AG84" s="131" t="str">
        <v>Fils et câbles d'énergie</v>
      </c>
      <c r="AH84" s="131" t="str">
        <v>Moteurs, génératrices, transfo. électr., matér. distrib., cmde électr.</v>
      </c>
      <c r="AI84" s="131" t="str">
        <v>Matériel de distribution et de commande électrique</v>
      </c>
      <c r="AJ84" s="131" t="str">
        <v>Appareils d'éclairage électrique</v>
      </c>
      <c r="AK84" s="131" t="str">
        <v>Câbles de fibres optiques</v>
      </c>
      <c r="AL84" s="131" t="str">
        <v>Peintures Industries</v>
      </c>
      <c r="AM84" s="131" t="str">
        <v>Produits sidérurgiques en acier non allié</v>
      </c>
      <c r="AN84" s="131" t="str">
        <v>Tôles quarto et autres produits plats en aciers non alliés de qualité</v>
      </c>
      <c r="AO84" s="131" t="str">
        <v>Éléments en métal pour la construction</v>
      </c>
      <c r="AP84" s="131" t="str">
        <v>Restaurants et hôtels</v>
      </c>
      <c r="AQ84" s="131" t="str">
        <v>Traitement et élimination des déchets non dangereux</v>
      </c>
      <c r="AR84" s="131" t="str">
        <v>Collecte, traitement et élimination des déchets ; récupération de matériaux</v>
      </c>
    </row>
    <row r="85" spans="1:44" x14ac:dyDescent="0.25">
      <c r="C85" t="s">
        <v>50</v>
      </c>
      <c r="D85" s="5">
        <f>('CUMULS INDICES'!B157/'CUMULS INDICES'!B158)-1</f>
        <v>3.0597234480729485E-2</v>
      </c>
      <c r="E85" s="5">
        <f>('CUMULS INDICES'!C157/'CUMULS INDICES'!C158)-1</f>
        <v>1.8898488120950852E-3</v>
      </c>
      <c r="F85" s="5">
        <f>('CUMULS INDICES'!D157/'CUMULS INDICES'!D158)-1</f>
        <v>2.6631158455392434E-3</v>
      </c>
      <c r="G85" s="5">
        <f>('CUMULS INDICES'!E157/'CUMULS INDICES'!E158)-1</f>
        <v>-5.712849723571789E-2</v>
      </c>
      <c r="H85" s="5">
        <f>('CUMULS INDICES'!F157/'CUMULS INDICES'!F158)-1</f>
        <v>-4.0537550043253434E-2</v>
      </c>
      <c r="I85" s="5">
        <f>('CUMULS INDICES'!G157/'CUMULS INDICES'!G158)-1</f>
        <v>3.372478169226123E-2</v>
      </c>
      <c r="J85" s="5">
        <f>('CUMULS INDICES'!H157/'CUMULS INDICES'!H158)-1</f>
        <v>1.7376194613379692E-2</v>
      </c>
      <c r="K85" s="5">
        <f>('CUMULS INDICES'!I157/'CUMULS INDICES'!I158)-1</f>
        <v>-0.12578012481997114</v>
      </c>
      <c r="L85" s="5">
        <f>('CUMULS INDICES'!J157/'CUMULS INDICES'!J158)-1</f>
        <v>0.54948535233570839</v>
      </c>
      <c r="M85" s="5">
        <f>('CUMULS INDICES'!K157/'CUMULS INDICES'!K158)-1</f>
        <v>-7.3568486780922204E-2</v>
      </c>
      <c r="N85" s="5">
        <f>('CUMULS INDICES'!L157/'CUMULS INDICES'!L158)-1</f>
        <v>1.2391573729863659E-2</v>
      </c>
      <c r="O85" s="5">
        <f>('CUMULS INDICES'!M157/'CUMULS INDICES'!M158)-1</f>
        <v>8.3090984628153564E-4</v>
      </c>
      <c r="P85" s="5">
        <f>('CUMULS INDICES'!N157/'CUMULS INDICES'!N158)-1</f>
        <v>2.5602857993450412E-2</v>
      </c>
      <c r="Q85" s="5">
        <f>('CUMULS INDICES'!O157/'CUMULS INDICES'!O158)-1</f>
        <v>-7.5882504509147242E-2</v>
      </c>
      <c r="R85" s="5">
        <f>('CUMULS INDICES'!P157/'CUMULS INDICES'!P158)-1</f>
        <v>2.2433927473878512E-2</v>
      </c>
      <c r="S85" s="5">
        <f>('CUMULS INDICES'!Q157/'CUMULS INDICES'!Q158)-1</f>
        <v>9.2098885118760965E-3</v>
      </c>
      <c r="T85" s="5">
        <f>('CUMULS INDICES'!R157/'CUMULS INDICES'!R158)-1</f>
        <v>4.8378661087866037E-2</v>
      </c>
      <c r="U85" s="5">
        <f>('CUMULS INDICES'!S157/'CUMULS INDICES'!S158)-1</f>
        <v>-7.5698757763976721E-3</v>
      </c>
      <c r="V85" s="5">
        <f>('CUMULS INDICES'!T157/'CUMULS INDICES'!T158)-1</f>
        <v>-2.1750524109014679E-2</v>
      </c>
      <c r="W85" s="5">
        <f>('CUMULS INDICES'!U157/'CUMULS INDICES'!U158)-1</f>
        <v>-0.12173117154811708</v>
      </c>
      <c r="X85" s="5">
        <f>('CUMULS INDICES'!V157/'CUMULS INDICES'!V158)-1</f>
        <v>2.0532741398446186E-2</v>
      </c>
      <c r="Y85" s="5">
        <f>('CUMULS INDICES'!W157/'CUMULS INDICES'!W158)-1</f>
        <v>2.2351500306184935E-2</v>
      </c>
      <c r="Z85" s="5">
        <f>('CUMULS INDICES'!X157/'CUMULS INDICES'!X158)-1</f>
        <v>5.1040221914008255E-2</v>
      </c>
      <c r="AA85" s="5">
        <f>('CUMULS INDICES'!Y157/'CUMULS INDICES'!Y158)-1</f>
        <v>5.1855751513556259E-2</v>
      </c>
      <c r="AB85" s="5">
        <f>('CUMULS INDICES'!Z157/'CUMULS INDICES'!Z158)-1</f>
        <v>6.3993174061433455E-2</v>
      </c>
      <c r="AC85" s="5">
        <f>('CUMULS INDICES'!AA157/'CUMULS INDICES'!AA158)-1</f>
        <v>7.1002556092019109E-3</v>
      </c>
      <c r="AD85" s="5">
        <f>('CUMULS INDICES'!AB157/'CUMULS INDICES'!AB158)-1</f>
        <v>-4.3709616115545469E-2</v>
      </c>
      <c r="AE85" s="5">
        <f>('CUMULS INDICES'!AC157/'CUMULS INDICES'!AC158)-1</f>
        <v>8.8774072334429244E-2</v>
      </c>
      <c r="AF85" s="5">
        <f>('CUMULS INDICES'!AD157/'CUMULS INDICES'!AD158)-1</f>
        <v>5.9336823734729593E-2</v>
      </c>
      <c r="AG85" s="5">
        <f>('CUMULS INDICES'!AE157/'CUMULS INDICES'!AE158)-1</f>
        <v>1.2977819726285977E-2</v>
      </c>
      <c r="AH85" s="5">
        <f>('CUMULS INDICES'!AF157/'CUMULS INDICES'!AF158)-1</f>
        <v>2.1517883105554025E-2</v>
      </c>
      <c r="AI85" s="5">
        <f>('CUMULS INDICES'!AG157/'CUMULS INDICES'!AG158)-1</f>
        <v>1.9976838448176215E-2</v>
      </c>
      <c r="AJ85" s="5">
        <f>('CUMULS INDICES'!AH157/'CUMULS INDICES'!AH158)-1</f>
        <v>1.556806889698592E-2</v>
      </c>
      <c r="AK85" s="5">
        <f>('CUMULS INDICES'!AI157/'CUMULS INDICES'!AI158)-1</f>
        <v>9.6494049533613069E-3</v>
      </c>
      <c r="AL85" s="5">
        <f>('CUMULS INDICES'!AJ157/'CUMULS INDICES'!AJ158)-1</f>
        <v>0.11947461480171762</v>
      </c>
      <c r="AM85" s="5">
        <f>('CUMULS INDICES'!AK157/'CUMULS INDICES'!AK158)-1</f>
        <v>-5.0373134328358105E-2</v>
      </c>
      <c r="AN85" s="5">
        <f>('CUMULS INDICES'!AL157/'CUMULS INDICES'!AL158)-1</f>
        <v>-9.0187590187607025E-4</v>
      </c>
      <c r="AO85" s="5">
        <f>('CUMULS INDICES'!AM157/'CUMULS INDICES'!AM158)-1</f>
        <v>1.251877816725111E-2</v>
      </c>
      <c r="AP85" s="5">
        <f>('CUMULS INDICES'!AN157/'CUMULS INDICES'!AN158)-1</f>
        <v>4.8885863936318108E-2</v>
      </c>
      <c r="AQ85" s="5">
        <f>('CUMULS INDICES'!AO157/'CUMULS INDICES'!AO158)-1</f>
        <v>5.5205047318611644E-3</v>
      </c>
      <c r="AR85" s="5">
        <f>('CUMULS INDICES'!AP157/'CUMULS INDICES'!AP158)-1</f>
        <v>-7.7086781745093313E-2</v>
      </c>
    </row>
    <row r="86" spans="1:44" x14ac:dyDescent="0.25">
      <c r="C86" t="s">
        <v>51</v>
      </c>
      <c r="D86" s="5">
        <f>('CUMULS INDICES'!B173/'CUMULS INDICES'!B174)-1</f>
        <v>4.4649614045709107E-2</v>
      </c>
      <c r="E86" s="5">
        <f>('CUMULS INDICES'!C173/'CUMULS INDICES'!C174)-1</f>
        <v>7.6097295828236877E-3</v>
      </c>
      <c r="F86" s="5">
        <f>('CUMULS INDICES'!D173/'CUMULS INDICES'!D174)-1</f>
        <v>1.4160485502360043E-2</v>
      </c>
      <c r="G86" s="5">
        <f>('CUMULS INDICES'!E173/'CUMULS INDICES'!E174)-1</f>
        <v>0.179321999161556</v>
      </c>
      <c r="H86" s="5">
        <f>('CUMULS INDICES'!F173/'CUMULS INDICES'!F174)-1</f>
        <v>0.14277836442567171</v>
      </c>
      <c r="I86" s="5">
        <f>('CUMULS INDICES'!G173/'CUMULS INDICES'!G174)-1</f>
        <v>5.679862306368344E-2</v>
      </c>
      <c r="J86" s="5">
        <f>('CUMULS INDICES'!H173/'CUMULS INDICES'!H174)-1</f>
        <v>4.5004500450045226E-2</v>
      </c>
      <c r="K86" s="5">
        <f>('CUMULS INDICES'!I173/'CUMULS INDICES'!I174)-1</f>
        <v>-9.3673824724318289E-2</v>
      </c>
      <c r="L86" s="5">
        <f>('CUMULS INDICES'!J173/'CUMULS INDICES'!J174)-1</f>
        <v>0.45761816741484029</v>
      </c>
      <c r="M86" s="5">
        <f>('CUMULS INDICES'!K173/'CUMULS INDICES'!K174)-1</f>
        <v>0.24151290723061747</v>
      </c>
      <c r="N86" s="5">
        <f>('CUMULS INDICES'!L173/'CUMULS INDICES'!L174)-1</f>
        <v>7.8066914498141182E-2</v>
      </c>
      <c r="O86" s="5">
        <f>('CUMULS INDICES'!M173/'CUMULS INDICES'!M174)-1</f>
        <v>7.6802683063163846E-2</v>
      </c>
      <c r="P86" s="5">
        <f>('CUMULS INDICES'!N173/'CUMULS INDICES'!N174)-1</f>
        <v>4.8382126348228027E-2</v>
      </c>
      <c r="Q86" s="5">
        <f>('CUMULS INDICES'!O173/'CUMULS INDICES'!O174)-1</f>
        <v>0.26236159242667578</v>
      </c>
      <c r="R86" s="5">
        <f>('CUMULS INDICES'!P173/'CUMULS INDICES'!P174)-1</f>
        <v>4.8430779034570381E-2</v>
      </c>
      <c r="S86" s="5">
        <f>('CUMULS INDICES'!Q173/'CUMULS INDICES'!Q174)-1</f>
        <v>0.10533333333333328</v>
      </c>
      <c r="T86" s="5">
        <f>('CUMULS INDICES'!R173/'CUMULS INDICES'!R174)-1</f>
        <v>0.13670004353504583</v>
      </c>
      <c r="U86" s="5">
        <f>('CUMULS INDICES'!S173/'CUMULS INDICES'!S174)-1</f>
        <v>0.16054267947993206</v>
      </c>
      <c r="V86" s="5">
        <f>('CUMULS INDICES'!T173/'CUMULS INDICES'!T174)-1</f>
        <v>0.28438962143768598</v>
      </c>
      <c r="W86" s="5">
        <f>('CUMULS INDICES'!U173/'CUMULS INDICES'!U174)-1</f>
        <v>0.24652898299201653</v>
      </c>
      <c r="X86" s="5">
        <f>('CUMULS INDICES'!V173/'CUMULS INDICES'!V174)-1</f>
        <v>5.9508220573257775E-2</v>
      </c>
      <c r="Y86" s="5">
        <f>('CUMULS INDICES'!W173/'CUMULS INDICES'!W174)-1</f>
        <v>6.206785656858016E-2</v>
      </c>
      <c r="Z86" s="5">
        <f>('CUMULS INDICES'!X173/'CUMULS INDICES'!X174)-1</f>
        <v>0.1410493827160495</v>
      </c>
      <c r="AA86" s="5">
        <f>('CUMULS INDICES'!Y173/'CUMULS INDICES'!Y174)-1</f>
        <v>0.1773146050445551</v>
      </c>
      <c r="AB86" s="5">
        <f>('CUMULS INDICES'!Z173/'CUMULS INDICES'!Z174)-1</f>
        <v>6.5878590464909736E-2</v>
      </c>
      <c r="AC86" s="5">
        <f>('CUMULS INDICES'!AA173/'CUMULS INDICES'!AA174)-1</f>
        <v>4.1408782788092902E-2</v>
      </c>
      <c r="AD86" s="5">
        <f>('CUMULS INDICES'!AB173/'CUMULS INDICES'!AB174)-1</f>
        <v>0.13808734107241571</v>
      </c>
      <c r="AE86" s="5">
        <f>('CUMULS INDICES'!AC173/'CUMULS INDICES'!AC174)-1</f>
        <v>0.16811137378513252</v>
      </c>
      <c r="AF86" s="5">
        <f>('CUMULS INDICES'!AD173/'CUMULS INDICES'!AD174)-1</f>
        <v>8.1741787624140416E-2</v>
      </c>
      <c r="AG86" s="5">
        <f>('CUMULS INDICES'!AE173/'CUMULS INDICES'!AE174)-1</f>
        <v>9.5825305073860001E-2</v>
      </c>
      <c r="AH86" s="5">
        <f>('CUMULS INDICES'!AF173/'CUMULS INDICES'!AF174)-1</f>
        <v>5.8787694182150574E-2</v>
      </c>
      <c r="AI86" s="5">
        <f>('CUMULS INDICES'!AG173/'CUMULS INDICES'!AG174)-1</f>
        <v>5.6480920654149003E-2</v>
      </c>
      <c r="AJ86" s="5">
        <f>('CUMULS INDICES'!AH173/'CUMULS INDICES'!AH174)-1</f>
        <v>3.6273841961852682E-2</v>
      </c>
      <c r="AK86" s="5">
        <f>('CUMULS INDICES'!AI173/'CUMULS INDICES'!AI174)-1</f>
        <v>1.3956507627393533E-2</v>
      </c>
      <c r="AL86" s="5">
        <f>('CUMULS INDICES'!AJ173/'CUMULS INDICES'!AJ174)-1</f>
        <v>0.10977383943922736</v>
      </c>
      <c r="AM86" s="5">
        <f>('CUMULS INDICES'!AK173/'CUMULS INDICES'!AK174)-1</f>
        <v>0.17319861196162489</v>
      </c>
      <c r="AN86" s="5">
        <f>('CUMULS INDICES'!AL173/'CUMULS INDICES'!AL174)-1</f>
        <v>2.506474287828353E-2</v>
      </c>
      <c r="AO86" s="5">
        <f>('CUMULS INDICES'!AM173/'CUMULS INDICES'!AM174)-1</f>
        <v>6.9167331737164162E-2</v>
      </c>
      <c r="AP86" s="5">
        <f>('CUMULS INDICES'!AN173/'CUMULS INDICES'!AN174)-1</f>
        <v>4.9919631213416915E-2</v>
      </c>
      <c r="AQ86" s="5">
        <f>('CUMULS INDICES'!AO173/'CUMULS INDICES'!AO174)-1</f>
        <v>4.0223616034906096E-2</v>
      </c>
      <c r="AR86" s="5">
        <f>('CUMULS INDICES'!AP173/'CUMULS INDICES'!AP174)-1</f>
        <v>7.4666314259283828E-2</v>
      </c>
    </row>
  </sheetData>
  <sheetProtection algorithmName="SHA-512" hashValue="/vrGXEO94SPoYY/kEVON8l9xH/iW+aR1+JcU34+T5V8uIjeQ497jVbVcO4BeCsJOyTbRpteDCXS22gTI4zIyaw==" saltValue="lNlvyjLUEtpEgxkRpPoR+Q==" spinCount="100000" sheet="1" objects="1" scenarios="1"/>
  <mergeCells count="6">
    <mergeCell ref="B40:E40"/>
    <mergeCell ref="J40:M40"/>
    <mergeCell ref="J7:M7"/>
    <mergeCell ref="B1:M1"/>
    <mergeCell ref="B7:E7"/>
    <mergeCell ref="B36:M36"/>
  </mergeCells>
  <hyperlinks>
    <hyperlink ref="A50" r:id="rId1" xr:uid="{75F15595-28D2-4ADC-9C42-6076A442E79D}"/>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R81"/>
  <sheetViews>
    <sheetView topLeftCell="A55" workbookViewId="0">
      <selection activeCell="H164" sqref="H164"/>
    </sheetView>
  </sheetViews>
  <sheetFormatPr baseColWidth="10" defaultRowHeight="15" x14ac:dyDescent="0.25"/>
  <cols>
    <col min="2" max="2" width="74.85546875" bestFit="1" customWidth="1"/>
  </cols>
  <sheetData>
    <row r="1" spans="1:12" ht="18.75" x14ac:dyDescent="0.3">
      <c r="A1" s="244" t="s">
        <v>204</v>
      </c>
      <c r="B1" s="244"/>
      <c r="C1" s="244"/>
      <c r="D1" s="244"/>
      <c r="E1" s="244"/>
      <c r="F1" s="244"/>
      <c r="G1" s="244"/>
      <c r="H1" s="244"/>
      <c r="I1" s="244"/>
      <c r="J1" s="244"/>
      <c r="K1" s="244"/>
      <c r="L1" s="244"/>
    </row>
    <row r="6" spans="1:12" x14ac:dyDescent="0.25">
      <c r="A6" s="252" t="str">
        <f>UPPER('RESULTATS DATE A DATE'!B20)</f>
        <v>EVOLUTION ENTRE JANV. 2018 ET SEPT. 2022</v>
      </c>
      <c r="B6" s="252"/>
      <c r="C6" s="252"/>
      <c r="J6" s="252" t="s">
        <v>212</v>
      </c>
      <c r="K6" s="252"/>
      <c r="L6" s="252"/>
    </row>
    <row r="7" spans="1:12" x14ac:dyDescent="0.25">
      <c r="A7" s="121" t="s">
        <v>24</v>
      </c>
      <c r="B7" s="121" t="s">
        <v>0</v>
      </c>
      <c r="C7" s="21" cm="1">
        <f t="array" ref="C7:C29">TRANSPOSE(C31:Y31)</f>
        <v>0.19664492078285201</v>
      </c>
      <c r="J7" t="str" cm="1">
        <f t="array" ref="J7:L29">_xlfn._xlws.SORT(A7:C29,3,-1)</f>
        <v>TP10d</v>
      </c>
      <c r="K7" t="str">
        <v>Réseaux de chauffage et de froid avec fourniture de tuyaux</v>
      </c>
      <c r="L7" s="5" t="e">
        <v>#N/A</v>
      </c>
    </row>
    <row r="8" spans="1:12" x14ac:dyDescent="0.25">
      <c r="A8" s="121" t="s">
        <v>25</v>
      </c>
      <c r="B8" s="121" t="s">
        <v>1</v>
      </c>
      <c r="C8" s="21">
        <v>0.17715827338129508</v>
      </c>
      <c r="J8" t="str">
        <v>TP09</v>
      </c>
      <c r="K8" t="str">
        <v>Fabrication et mise en œuvre d’enrobés </v>
      </c>
      <c r="L8" s="5">
        <v>0.43694141012909626</v>
      </c>
    </row>
    <row r="9" spans="1:12" x14ac:dyDescent="0.25">
      <c r="A9" s="121" t="s">
        <v>26</v>
      </c>
      <c r="B9" s="121" t="s">
        <v>2</v>
      </c>
      <c r="C9" s="21">
        <v>0.14298978644382543</v>
      </c>
      <c r="J9" t="str">
        <v>TP07b</v>
      </c>
      <c r="K9" t="str">
        <v>Travaux de génie civil, béton et acier pour ouvrages maritimes</v>
      </c>
      <c r="L9" s="5">
        <v>0.43304843304843321</v>
      </c>
    </row>
    <row r="10" spans="1:12" x14ac:dyDescent="0.25">
      <c r="A10" s="121" t="s">
        <v>27</v>
      </c>
      <c r="B10" s="121" t="s">
        <v>3</v>
      </c>
      <c r="C10" s="21">
        <v>0.12033582089552231</v>
      </c>
      <c r="J10" t="str">
        <v>TP13</v>
      </c>
      <c r="K10" t="str">
        <v xml:space="preserve">Charpentes et ouvrages d’art métalliques </v>
      </c>
      <c r="L10" s="5">
        <v>0.29797047970479684</v>
      </c>
    </row>
    <row r="11" spans="1:12" x14ac:dyDescent="0.25">
      <c r="A11" s="121" t="s">
        <v>28</v>
      </c>
      <c r="B11" s="121" t="s">
        <v>4</v>
      </c>
      <c r="C11" s="21">
        <v>0.19269406392694055</v>
      </c>
      <c r="J11" t="str">
        <v>TP11</v>
      </c>
      <c r="K11" t="str">
        <v>Canalisations grandes distances de transport / transfert  avec fourniture de tuyaux</v>
      </c>
      <c r="L11" s="5">
        <v>0.2448780487804878</v>
      </c>
    </row>
    <row r="12" spans="1:12" x14ac:dyDescent="0.25">
      <c r="A12" s="121" t="s">
        <v>29</v>
      </c>
      <c r="B12" s="121" t="s">
        <v>5</v>
      </c>
      <c r="C12" s="21">
        <v>0.16176470588235303</v>
      </c>
      <c r="J12" t="str">
        <v>TP10c</v>
      </c>
      <c r="K12" t="str">
        <v>Réhabilitation de canalisations non visitables</v>
      </c>
      <c r="L12" s="5">
        <v>0.23974475843208753</v>
      </c>
    </row>
    <row r="13" spans="1:12" x14ac:dyDescent="0.25">
      <c r="A13" s="121" t="s">
        <v>30</v>
      </c>
      <c r="B13" s="121" t="s">
        <v>6</v>
      </c>
      <c r="C13" s="21">
        <v>0.16022099447513827</v>
      </c>
      <c r="J13" t="str">
        <v>TP08</v>
      </c>
      <c r="K13" t="str">
        <v>Travaux d’aménagement et entretien de voirie</v>
      </c>
      <c r="L13" s="5">
        <v>0.2388201712654614</v>
      </c>
    </row>
    <row r="14" spans="1:12" x14ac:dyDescent="0.25">
      <c r="A14" s="121" t="s">
        <v>31</v>
      </c>
      <c r="B14" s="121" t="s">
        <v>7</v>
      </c>
      <c r="C14" s="21">
        <v>0.19598906107566072</v>
      </c>
      <c r="J14" t="str">
        <v>TP01</v>
      </c>
      <c r="K14" t="str">
        <v>Index général tous travaux</v>
      </c>
      <c r="L14" s="5">
        <v>0.19664492078285201</v>
      </c>
    </row>
    <row r="15" spans="1:12" x14ac:dyDescent="0.25">
      <c r="A15" s="121" t="s">
        <v>32</v>
      </c>
      <c r="B15" s="121" t="s">
        <v>8</v>
      </c>
      <c r="C15" s="21">
        <v>0.12746016869728205</v>
      </c>
      <c r="J15" t="str">
        <v>TP06a</v>
      </c>
      <c r="K15" t="str">
        <v>Grands dragages maritimes </v>
      </c>
      <c r="L15" s="5">
        <v>0.19598906107566072</v>
      </c>
    </row>
    <row r="16" spans="1:12" x14ac:dyDescent="0.25">
      <c r="A16" s="121" t="s">
        <v>33</v>
      </c>
      <c r="B16" s="121" t="s">
        <v>9</v>
      </c>
      <c r="C16" s="21">
        <v>0.43304843304843321</v>
      </c>
      <c r="J16" t="str">
        <v>TP04</v>
      </c>
      <c r="K16" t="str">
        <v xml:space="preserve">Fondations et travaux géotechniques </v>
      </c>
      <c r="L16" s="5">
        <v>0.19269406392694055</v>
      </c>
    </row>
    <row r="17" spans="1:26" x14ac:dyDescent="0.25">
      <c r="A17" s="121" t="s">
        <v>34</v>
      </c>
      <c r="B17" s="121" t="s">
        <v>10</v>
      </c>
      <c r="C17" s="21">
        <v>0.2388201712654614</v>
      </c>
      <c r="J17" t="str">
        <v>TP12b</v>
      </c>
      <c r="K17" t="str">
        <v>Éclairage public -Travaux d'installation</v>
      </c>
      <c r="L17" s="5">
        <v>0.18028169014084505</v>
      </c>
    </row>
    <row r="18" spans="1:26" x14ac:dyDescent="0.25">
      <c r="A18" s="121" t="s">
        <v>35</v>
      </c>
      <c r="B18" s="121" t="s">
        <v>11</v>
      </c>
      <c r="C18" s="21">
        <v>0.43694141012909626</v>
      </c>
      <c r="J18" t="str">
        <v>TP02</v>
      </c>
      <c r="K18" t="str">
        <v>Travaux de génie civil et d’ouvrages d’art neufs ou rénovation</v>
      </c>
      <c r="L18" s="5">
        <v>0.17715827338129508</v>
      </c>
    </row>
    <row r="19" spans="1:26" x14ac:dyDescent="0.25">
      <c r="A19" s="121" t="s">
        <v>36</v>
      </c>
      <c r="B19" s="121" t="s">
        <v>12</v>
      </c>
      <c r="C19" s="21">
        <v>0.15662650602409633</v>
      </c>
      <c r="J19" t="str">
        <v>TP05a</v>
      </c>
      <c r="K19" t="str">
        <v xml:space="preserve">Travaux en souterrains traditionnels </v>
      </c>
      <c r="L19" s="5">
        <v>0.16176470588235303</v>
      </c>
    </row>
    <row r="20" spans="1:26" x14ac:dyDescent="0.25">
      <c r="A20" s="121" t="s">
        <v>37</v>
      </c>
      <c r="B20" s="121" t="s">
        <v>13</v>
      </c>
      <c r="C20" s="21">
        <v>0.10899182561307907</v>
      </c>
      <c r="J20" t="str">
        <v>TP05b</v>
      </c>
      <c r="K20" t="str">
        <v xml:space="preserve">Travaux en souterrains avec tunnelier </v>
      </c>
      <c r="L20" s="5">
        <v>0.16022099447513827</v>
      </c>
    </row>
    <row r="21" spans="1:26" x14ac:dyDescent="0.25">
      <c r="A21" s="121" t="s">
        <v>38</v>
      </c>
      <c r="B21" s="121" t="s">
        <v>14</v>
      </c>
      <c r="C21" s="21">
        <v>0.23974475843208753</v>
      </c>
      <c r="J21" t="str">
        <v>TP10a</v>
      </c>
      <c r="K21" t="str">
        <v xml:space="preserve">Canalisations, assainissement et adduction d’eau avec fourniture de tuyaux </v>
      </c>
      <c r="L21" s="5">
        <v>0.15662650602409633</v>
      </c>
    </row>
    <row r="22" spans="1:26" x14ac:dyDescent="0.25">
      <c r="A22" s="121" t="s">
        <v>39</v>
      </c>
      <c r="B22" s="121" t="s">
        <v>15</v>
      </c>
      <c r="C22" s="21" t="e">
        <v>#N/A</v>
      </c>
      <c r="J22" t="str">
        <v>TP03a</v>
      </c>
      <c r="K22" t="str">
        <v>Grands terrassements</v>
      </c>
      <c r="L22" s="5">
        <v>0.14298978644382543</v>
      </c>
    </row>
    <row r="23" spans="1:26" x14ac:dyDescent="0.25">
      <c r="A23" s="121" t="s">
        <v>40</v>
      </c>
      <c r="B23" s="121" t="s">
        <v>16</v>
      </c>
      <c r="C23" s="21">
        <v>0.2448780487804878</v>
      </c>
      <c r="J23" t="str">
        <v>TP12a</v>
      </c>
      <c r="K23" t="str">
        <v>Réseaux d'énergie et de communication</v>
      </c>
      <c r="L23" s="5">
        <v>0.13027522935779823</v>
      </c>
    </row>
    <row r="24" spans="1:26" x14ac:dyDescent="0.25">
      <c r="A24" s="121" t="s">
        <v>41</v>
      </c>
      <c r="B24" s="121" t="s">
        <v>17</v>
      </c>
      <c r="C24" s="21">
        <v>0.13027522935779823</v>
      </c>
      <c r="J24" t="str">
        <v>TP06b</v>
      </c>
      <c r="K24" t="str">
        <v>Dragages fluviaux et petits dragages maritimes</v>
      </c>
      <c r="L24" s="5">
        <v>0.12746016869728205</v>
      </c>
    </row>
    <row r="25" spans="1:26" x14ac:dyDescent="0.25">
      <c r="A25" s="121" t="s">
        <v>42</v>
      </c>
      <c r="B25" s="121" t="s">
        <v>18</v>
      </c>
      <c r="C25" s="21">
        <v>0.18028169014084505</v>
      </c>
      <c r="J25" t="str">
        <v>TP03b</v>
      </c>
      <c r="K25" t="str">
        <v>Travaux à l’explosif</v>
      </c>
      <c r="L25" s="5">
        <v>0.12033582089552231</v>
      </c>
    </row>
    <row r="26" spans="1:26" x14ac:dyDescent="0.25">
      <c r="A26" s="121" t="s">
        <v>43</v>
      </c>
      <c r="B26" s="121" t="s">
        <v>19</v>
      </c>
      <c r="C26" s="21">
        <v>7.8804347826086918E-2</v>
      </c>
      <c r="J26" t="str">
        <v>TP10b</v>
      </c>
      <c r="K26" t="str">
        <v>Canalisations sans fourniture de tuyaux</v>
      </c>
      <c r="L26" s="5">
        <v>0.10899182561307907</v>
      </c>
    </row>
    <row r="27" spans="1:26" x14ac:dyDescent="0.25">
      <c r="A27" s="121" t="s">
        <v>44</v>
      </c>
      <c r="B27" s="121" t="s">
        <v>20</v>
      </c>
      <c r="C27" s="21">
        <v>7.6714801444043301E-2</v>
      </c>
      <c r="J27" t="str">
        <v>TP14</v>
      </c>
      <c r="K27" t="str">
        <v>Travaux immergés par scaphandriers</v>
      </c>
      <c r="L27" s="5">
        <v>9.8920863309352569E-2</v>
      </c>
    </row>
    <row r="28" spans="1:26" x14ac:dyDescent="0.25">
      <c r="A28" s="121" t="s">
        <v>45</v>
      </c>
      <c r="B28" s="121" t="s">
        <v>21</v>
      </c>
      <c r="C28" s="21">
        <v>0.29797047970479684</v>
      </c>
      <c r="J28" t="str">
        <v>TP12c</v>
      </c>
      <c r="K28" t="str">
        <v>Éclairage public - Travaux  de maintenance</v>
      </c>
      <c r="L28" s="5">
        <v>7.8804347826086918E-2</v>
      </c>
    </row>
    <row r="29" spans="1:26" x14ac:dyDescent="0.25">
      <c r="A29" s="121" t="s">
        <v>46</v>
      </c>
      <c r="B29" s="121" t="s">
        <v>22</v>
      </c>
      <c r="C29" s="21">
        <v>9.8920863309352569E-2</v>
      </c>
      <c r="J29" t="str">
        <v>TP12d</v>
      </c>
      <c r="K29" t="str">
        <v>Réseaux de communication en fibre optique</v>
      </c>
      <c r="L29" s="5">
        <v>7.6714801444043301E-2</v>
      </c>
    </row>
    <row r="31" spans="1:26" x14ac:dyDescent="0.25">
      <c r="C31">
        <f>('CUMULS INDEX'!B83/'CUMULS INDEX'!B82)-1</f>
        <v>0.19664492078285201</v>
      </c>
      <c r="D31" s="121">
        <f>('CUMULS INDEX'!C83/'CUMULS INDEX'!C82)-1</f>
        <v>0.17715827338129508</v>
      </c>
      <c r="E31" s="121">
        <f>('CUMULS INDEX'!D83/'CUMULS INDEX'!D82)-1</f>
        <v>0.14298978644382543</v>
      </c>
      <c r="F31" s="121">
        <f>('CUMULS INDEX'!E83/'CUMULS INDEX'!E82)-1</f>
        <v>0.12033582089552231</v>
      </c>
      <c r="G31" s="121">
        <f>('CUMULS INDEX'!F83/'CUMULS INDEX'!F82)-1</f>
        <v>0.19269406392694055</v>
      </c>
      <c r="H31" s="121">
        <f>('CUMULS INDEX'!G83/'CUMULS INDEX'!G82)-1</f>
        <v>0.16176470588235303</v>
      </c>
      <c r="I31" s="121">
        <f>('CUMULS INDEX'!H83/'CUMULS INDEX'!H82)-1</f>
        <v>0.16022099447513827</v>
      </c>
      <c r="J31" s="121">
        <f>('CUMULS INDEX'!I83/'CUMULS INDEX'!I82)-1</f>
        <v>0.19598906107566072</v>
      </c>
      <c r="K31" s="121">
        <f>('CUMULS INDEX'!J83/'CUMULS INDEX'!J82)-1</f>
        <v>0.12746016869728205</v>
      </c>
      <c r="L31" s="121">
        <f>('CUMULS INDEX'!K83/'CUMULS INDEX'!K82)-1</f>
        <v>0.43304843304843321</v>
      </c>
      <c r="M31" s="121">
        <f>('CUMULS INDEX'!L83/'CUMULS INDEX'!L82)-1</f>
        <v>0.2388201712654614</v>
      </c>
      <c r="N31" s="121">
        <f>('CUMULS INDEX'!M83/'CUMULS INDEX'!M82)-1</f>
        <v>0.43694141012909626</v>
      </c>
      <c r="O31" s="121">
        <f>('CUMULS INDEX'!N83/'CUMULS INDEX'!N82)-1</f>
        <v>0.15662650602409633</v>
      </c>
      <c r="P31" s="121">
        <f>('CUMULS INDEX'!O83/'CUMULS INDEX'!O82)-1</f>
        <v>0.10899182561307907</v>
      </c>
      <c r="Q31" s="121">
        <f>('CUMULS INDEX'!P83/'CUMULS INDEX'!P82)-1</f>
        <v>0.23974475843208753</v>
      </c>
      <c r="R31" s="121" t="e">
        <f>('CUMULS INDEX'!Q83/'CUMULS INDEX'!Q82)-1</f>
        <v>#N/A</v>
      </c>
      <c r="S31" s="121">
        <f>('CUMULS INDEX'!R83/'CUMULS INDEX'!R82)-1</f>
        <v>0.2448780487804878</v>
      </c>
      <c r="T31" s="121">
        <f>('CUMULS INDEX'!S83/'CUMULS INDEX'!S82)-1</f>
        <v>0.13027522935779823</v>
      </c>
      <c r="U31" s="121">
        <f>('CUMULS INDEX'!T83/'CUMULS INDEX'!T82)-1</f>
        <v>0.18028169014084505</v>
      </c>
      <c r="V31" s="121">
        <f>('CUMULS INDEX'!U83/'CUMULS INDEX'!U82)-1</f>
        <v>7.8804347826086918E-2</v>
      </c>
      <c r="W31" s="121">
        <f>('CUMULS INDEX'!V83/'CUMULS INDEX'!V82)-1</f>
        <v>7.6714801444043301E-2</v>
      </c>
      <c r="X31" s="121">
        <f>('CUMULS INDEX'!W83/'CUMULS INDEX'!W82)-1</f>
        <v>0.29797047970479684</v>
      </c>
      <c r="Y31" s="121">
        <f>('CUMULS INDEX'!X83/'CUMULS INDEX'!X82)-1</f>
        <v>9.8920863309352569E-2</v>
      </c>
      <c r="Z31" s="121"/>
    </row>
    <row r="35" spans="1:12" ht="18.75" x14ac:dyDescent="0.3">
      <c r="A35" s="244" t="s">
        <v>205</v>
      </c>
      <c r="B35" s="244"/>
      <c r="C35" s="244"/>
      <c r="D35" s="244"/>
      <c r="E35" s="244"/>
      <c r="F35" s="244"/>
      <c r="G35" s="244"/>
      <c r="H35" s="244"/>
      <c r="I35" s="244"/>
      <c r="J35" s="244"/>
      <c r="K35" s="244"/>
      <c r="L35" s="244"/>
    </row>
    <row r="36" spans="1:12" x14ac:dyDescent="0.25">
      <c r="C36" s="5"/>
    </row>
    <row r="37" spans="1:12" x14ac:dyDescent="0.25">
      <c r="C37" s="5"/>
    </row>
    <row r="38" spans="1:12" x14ac:dyDescent="0.25">
      <c r="A38" s="258" t="str">
        <f>UPPER('RESULTATS DATE A DATE'!B20)</f>
        <v>EVOLUTION ENTRE JANV. 2018 ET SEPT. 2022</v>
      </c>
      <c r="B38" s="258"/>
      <c r="C38" s="258"/>
      <c r="J38" s="252" t="s">
        <v>212</v>
      </c>
      <c r="K38" s="252"/>
      <c r="L38" s="252"/>
    </row>
    <row r="39" spans="1:12" x14ac:dyDescent="0.25">
      <c r="A39" s="121" t="s">
        <v>56</v>
      </c>
      <c r="B39" s="121" t="s">
        <v>134</v>
      </c>
      <c r="C39" s="21" cm="1">
        <f t="array" ref="C39:C79">TRANSPOSE(C81:AQ81)</f>
        <v>0.12487992315081642</v>
      </c>
      <c r="J39" t="str" cm="1">
        <f t="array" ref="J39:L79">_xlfn._xlws.SORT(A39:C79,3,-1,FALSE)</f>
        <v>010534776</v>
      </c>
      <c r="K39" t="str">
        <v>Gaz naturel</v>
      </c>
      <c r="L39" s="5">
        <v>8.8064516129032242</v>
      </c>
    </row>
    <row r="40" spans="1:12" x14ac:dyDescent="0.25">
      <c r="A40" s="121" t="s">
        <v>57</v>
      </c>
      <c r="B40" s="121" t="s">
        <v>135</v>
      </c>
      <c r="C40" s="21">
        <v>5.0084889643463582E-2</v>
      </c>
      <c r="J40" t="str">
        <v>010536462</v>
      </c>
      <c r="K40" t="str">
        <v>Acier pour la construction</v>
      </c>
      <c r="L40" s="5">
        <v>0.96022727272727271</v>
      </c>
    </row>
    <row r="41" spans="1:12" x14ac:dyDescent="0.25">
      <c r="A41" s="121" t="s">
        <v>58</v>
      </c>
      <c r="B41" s="121" t="s">
        <v>136</v>
      </c>
      <c r="C41" s="21">
        <v>9.0356211989574442E-2</v>
      </c>
      <c r="J41" t="str">
        <v>010546545</v>
      </c>
      <c r="K41" t="str">
        <v>Barres crénelées ou nervurées pour béton armé</v>
      </c>
      <c r="L41" s="5">
        <v>0.79342723004694826</v>
      </c>
    </row>
    <row r="42" spans="1:12" x14ac:dyDescent="0.25">
      <c r="A42" s="94" t="s">
        <v>280</v>
      </c>
      <c r="B42" s="121" t="s">
        <v>137</v>
      </c>
      <c r="C42" s="21">
        <v>0.33787726901378567</v>
      </c>
      <c r="J42" t="str">
        <v>010534598</v>
      </c>
      <c r="K42" t="str">
        <v>Bitume</v>
      </c>
      <c r="L42" s="5">
        <v>0.72587185725871861</v>
      </c>
    </row>
    <row r="43" spans="1:12" x14ac:dyDescent="0.25">
      <c r="A43" s="121" t="s">
        <v>59</v>
      </c>
      <c r="B43" s="121" t="s">
        <v>138</v>
      </c>
      <c r="C43" s="21">
        <v>0.23361372532689284</v>
      </c>
      <c r="J43" t="str">
        <v>010534613</v>
      </c>
      <c r="K43" t="str">
        <v>Autres produits chimiques</v>
      </c>
      <c r="L43" s="5">
        <v>0.67402206619859584</v>
      </c>
    </row>
    <row r="44" spans="1:12" x14ac:dyDescent="0.25">
      <c r="A44" s="121" t="s">
        <v>60</v>
      </c>
      <c r="B44" s="121" t="s">
        <v>139</v>
      </c>
      <c r="C44" s="21">
        <v>0.11133004926108381</v>
      </c>
      <c r="J44" t="str">
        <v>010536480</v>
      </c>
      <c r="K44" t="str">
        <v>Tôles quarto et autres produits plats en aciers non alliés de qualité</v>
      </c>
      <c r="L44" s="5">
        <v>0.62560153994225209</v>
      </c>
    </row>
    <row r="45" spans="1:12" x14ac:dyDescent="0.25">
      <c r="A45" s="121" t="s">
        <v>61</v>
      </c>
      <c r="B45" s="121" t="s">
        <v>140</v>
      </c>
      <c r="C45" s="21">
        <v>0.10890151515151514</v>
      </c>
      <c r="J45" t="str">
        <v>010534267</v>
      </c>
      <c r="K45" t="str">
        <v>Produits sidérurgiques en acier non allié</v>
      </c>
      <c r="L45" s="5">
        <v>0.58584987057808458</v>
      </c>
    </row>
    <row r="46" spans="1:12" x14ac:dyDescent="0.25">
      <c r="A46" s="121" t="s">
        <v>62</v>
      </c>
      <c r="B46" s="121" t="s">
        <v>141</v>
      </c>
      <c r="C46" s="21">
        <v>0.10414746543778808</v>
      </c>
      <c r="J46" t="str">
        <v>010534606</v>
      </c>
      <c r="K46" t="str">
        <v>Matières plastiques sous formes primaires</v>
      </c>
      <c r="L46" s="5">
        <v>0.5800575263662513</v>
      </c>
    </row>
    <row r="47" spans="1:12" x14ac:dyDescent="0.25">
      <c r="A47" s="221" t="s">
        <v>296</v>
      </c>
      <c r="B47" s="121" t="s">
        <v>294</v>
      </c>
      <c r="C47" s="21">
        <v>8.8064516129032242</v>
      </c>
      <c r="J47" t="str">
        <v>010534575</v>
      </c>
      <c r="K47" t="str">
        <v>Ensemble des produits du sciage</v>
      </c>
      <c r="L47" s="5">
        <v>0.5093984962406013</v>
      </c>
    </row>
    <row r="48" spans="1:12" x14ac:dyDescent="0.25">
      <c r="A48" s="121" t="s">
        <v>64</v>
      </c>
      <c r="B48" s="121" t="s">
        <v>64</v>
      </c>
      <c r="C48" s="21">
        <v>0.32609269719374367</v>
      </c>
      <c r="J48" t="str">
        <v>010534180</v>
      </c>
      <c r="K48" t="str">
        <v>Peintures Industries</v>
      </c>
      <c r="L48" s="5">
        <v>0.4594078319006687</v>
      </c>
    </row>
    <row r="49" spans="1:12" x14ac:dyDescent="0.25">
      <c r="A49" s="121" t="s">
        <v>65</v>
      </c>
      <c r="B49" s="121" t="s">
        <v>142</v>
      </c>
      <c r="C49" s="21">
        <v>0.37348178137651811</v>
      </c>
      <c r="J49" t="str">
        <v>010534654</v>
      </c>
      <c r="K49" t="str">
        <v>Tubes, tuyaux, profilés creux et accessoires correspondants en acier</v>
      </c>
      <c r="L49" s="5">
        <v>0.44550669216061189</v>
      </c>
    </row>
    <row r="50" spans="1:12" x14ac:dyDescent="0.25">
      <c r="A50" s="121" t="s">
        <v>66</v>
      </c>
      <c r="B50" s="121" t="s">
        <v>143</v>
      </c>
      <c r="C50" s="21">
        <v>0.5093984962406013</v>
      </c>
      <c r="J50" t="str">
        <v>010534330</v>
      </c>
      <c r="K50" t="str">
        <v>Fils et câbles d'énergie</v>
      </c>
      <c r="L50" s="5">
        <v>0.43963782696177045</v>
      </c>
    </row>
    <row r="51" spans="1:12" x14ac:dyDescent="0.25">
      <c r="A51" s="121" t="s">
        <v>67</v>
      </c>
      <c r="B51" s="121" t="s">
        <v>144</v>
      </c>
      <c r="C51" s="21">
        <v>0.15060240963855431</v>
      </c>
      <c r="J51" t="str">
        <v>010534662</v>
      </c>
      <c r="K51" t="str">
        <v>Travaux de fonderie de fonte</v>
      </c>
      <c r="L51" s="5">
        <v>0.38193688792165381</v>
      </c>
    </row>
    <row r="52" spans="1:12" x14ac:dyDescent="0.25">
      <c r="A52" s="121" t="s">
        <v>68</v>
      </c>
      <c r="B52" s="121" t="s">
        <v>145</v>
      </c>
      <c r="C52" s="21">
        <v>0.79342723004694826</v>
      </c>
      <c r="J52" t="str">
        <v>010534207</v>
      </c>
      <c r="K52" t="str">
        <v>Tubes, tuyaux en matière plastique</v>
      </c>
      <c r="L52" s="5">
        <v>0.37348178137651811</v>
      </c>
    </row>
    <row r="53" spans="1:12" x14ac:dyDescent="0.25">
      <c r="A53" s="121" t="s">
        <v>69</v>
      </c>
      <c r="B53" s="121" t="s">
        <v>146</v>
      </c>
      <c r="C53" s="21">
        <v>0.1202020202020202</v>
      </c>
      <c r="J53" t="str">
        <v>010534625</v>
      </c>
      <c r="K53" t="str">
        <v>Plaques, feuilles, tubes et profilés en matières plastiques</v>
      </c>
      <c r="L53" s="5">
        <v>0.35079051383399196</v>
      </c>
    </row>
    <row r="54" spans="1:12" x14ac:dyDescent="0.25">
      <c r="A54" s="121" t="s">
        <v>70</v>
      </c>
      <c r="B54" s="121" t="s">
        <v>147</v>
      </c>
      <c r="C54" s="21">
        <v>0.35079051383399196</v>
      </c>
      <c r="J54" t="str">
        <v>010758171</v>
      </c>
      <c r="K54" t="str">
        <v>GNR</v>
      </c>
      <c r="L54" s="5">
        <v>0.33787726901378567</v>
      </c>
    </row>
    <row r="55" spans="1:12" x14ac:dyDescent="0.25">
      <c r="A55" s="121" t="s">
        <v>71</v>
      </c>
      <c r="B55" s="121" t="s">
        <v>148</v>
      </c>
      <c r="C55" s="21">
        <v>0.3296921549155909</v>
      </c>
      <c r="J55" t="str">
        <v>010534642</v>
      </c>
      <c r="K55" t="str">
        <v>Ciment, chaux et plâtre</v>
      </c>
      <c r="L55" s="5">
        <v>0.3296921549155909</v>
      </c>
    </row>
    <row r="56" spans="1:12" x14ac:dyDescent="0.25">
      <c r="A56" s="94" t="s">
        <v>284</v>
      </c>
      <c r="B56" s="121" t="s">
        <v>286</v>
      </c>
      <c r="C56" s="21">
        <v>0.67402206619859584</v>
      </c>
      <c r="J56" t="str">
        <v>010534638</v>
      </c>
      <c r="K56" t="str">
        <v>Tuiles, briques et produits de construction en terre cuite</v>
      </c>
      <c r="L56" s="5">
        <v>0.32934131736526928</v>
      </c>
    </row>
    <row r="57" spans="1:12" x14ac:dyDescent="0.25">
      <c r="A57" s="121" t="s">
        <v>73</v>
      </c>
      <c r="B57" s="121" t="s">
        <v>149</v>
      </c>
      <c r="C57" s="21">
        <v>0.96022727272727271</v>
      </c>
      <c r="J57" t="str">
        <v>Gazole routier HTT</v>
      </c>
      <c r="K57" t="str">
        <v>Gazole routier HTT</v>
      </c>
      <c r="L57" s="5">
        <v>0.32609269719374367</v>
      </c>
    </row>
    <row r="58" spans="1:12" x14ac:dyDescent="0.25">
      <c r="A58" s="121" t="s">
        <v>74</v>
      </c>
      <c r="B58" s="121" t="s">
        <v>150</v>
      </c>
      <c r="C58" s="21">
        <v>0.72587185725871861</v>
      </c>
      <c r="J58" t="str">
        <v>010534667</v>
      </c>
      <c r="K58" t="str">
        <v>Éléments en métal pour la construction</v>
      </c>
      <c r="L58" s="5">
        <v>0.31645569620253156</v>
      </c>
    </row>
    <row r="59" spans="1:12" x14ac:dyDescent="0.25">
      <c r="A59" s="121" t="s">
        <v>75</v>
      </c>
      <c r="B59" s="121" t="s">
        <v>151</v>
      </c>
      <c r="C59" s="21">
        <v>0.22381930184804921</v>
      </c>
      <c r="J59" t="str">
        <v>010534784</v>
      </c>
      <c r="K59" t="str">
        <v>Collecte, traitement et élimination des déchets ; récupération de matériaux</v>
      </c>
      <c r="L59" s="5">
        <v>0.25168107588856881</v>
      </c>
    </row>
    <row r="60" spans="1:12" x14ac:dyDescent="0.25">
      <c r="A60" s="121" t="s">
        <v>76</v>
      </c>
      <c r="B60" s="121" t="s">
        <v>152</v>
      </c>
      <c r="C60" s="21">
        <v>0.14902363823227138</v>
      </c>
      <c r="J60" t="str">
        <v>010534645</v>
      </c>
      <c r="K60" t="str">
        <v>Éléments en béton pour la construction</v>
      </c>
      <c r="L60" s="5">
        <v>0.24405377456049626</v>
      </c>
    </row>
    <row r="61" spans="1:12" x14ac:dyDescent="0.25">
      <c r="A61" s="121" t="s">
        <v>77</v>
      </c>
      <c r="B61" s="121" t="s">
        <v>153</v>
      </c>
      <c r="C61" s="21">
        <v>0.38193688792165381</v>
      </c>
      <c r="J61" t="str">
        <v>001764283</v>
      </c>
      <c r="K61" t="str">
        <v>Gazole</v>
      </c>
      <c r="L61" s="5">
        <v>0.23361372532689284</v>
      </c>
    </row>
    <row r="62" spans="1:12" x14ac:dyDescent="0.25">
      <c r="A62" s="121" t="s">
        <v>78</v>
      </c>
      <c r="B62" s="121" t="s">
        <v>154</v>
      </c>
      <c r="C62" s="21">
        <v>0.32934131736526928</v>
      </c>
      <c r="J62" t="str">
        <v>010534252</v>
      </c>
      <c r="K62" t="str">
        <v>Produits de voierie en béton</v>
      </c>
      <c r="L62" s="5">
        <v>0.22381930184804921</v>
      </c>
    </row>
    <row r="63" spans="1:12" x14ac:dyDescent="0.25">
      <c r="A63" s="228" t="s">
        <v>300</v>
      </c>
      <c r="B63" s="224" t="s">
        <v>298</v>
      </c>
      <c r="C63" s="21">
        <v>0.200339113680154</v>
      </c>
      <c r="D63" s="224"/>
      <c r="E63" s="224"/>
      <c r="F63" s="224"/>
      <c r="J63" t="str">
        <v>010534789</v>
      </c>
      <c r="K63" t="str">
        <v>Traitement et élimination des déchets non dangereux</v>
      </c>
      <c r="L63" s="5">
        <v>0.20396600566572221</v>
      </c>
    </row>
    <row r="64" spans="1:12" x14ac:dyDescent="0.25">
      <c r="A64" s="94" t="s">
        <v>290</v>
      </c>
      <c r="B64" s="121" t="s">
        <v>291</v>
      </c>
      <c r="C64" s="21">
        <v>0.15287244401168465</v>
      </c>
      <c r="J64" t="str">
        <v>010760506</v>
      </c>
      <c r="K64" t="str">
        <v>Réseaux d’assainissement</v>
      </c>
      <c r="L64" s="5">
        <v>0.200339113680154</v>
      </c>
    </row>
    <row r="65" spans="1:12" x14ac:dyDescent="0.25">
      <c r="A65" s="121" t="s">
        <v>81</v>
      </c>
      <c r="B65" s="121" t="s">
        <v>156</v>
      </c>
      <c r="C65" s="21">
        <v>0.5800575263662513</v>
      </c>
      <c r="J65" t="str">
        <v>010534698</v>
      </c>
      <c r="K65" t="str">
        <v>Matériel de distribution et de commande électrique</v>
      </c>
      <c r="L65" s="5">
        <v>0.15988083416087373</v>
      </c>
    </row>
    <row r="66" spans="1:12" x14ac:dyDescent="0.25">
      <c r="A66" s="121" t="s">
        <v>82</v>
      </c>
      <c r="B66" s="121" t="s">
        <v>157</v>
      </c>
      <c r="C66" s="21">
        <v>0.44550669216061189</v>
      </c>
      <c r="J66" t="str">
        <v>010534554</v>
      </c>
      <c r="K66" t="str">
        <v>Autres textiles</v>
      </c>
      <c r="L66" s="5">
        <v>0.15287244401168465</v>
      </c>
    </row>
    <row r="67" spans="1:12" x14ac:dyDescent="0.25">
      <c r="A67" s="121" t="s">
        <v>83</v>
      </c>
      <c r="B67" s="121" t="s">
        <v>158</v>
      </c>
      <c r="C67" s="21">
        <v>0.24405377456049626</v>
      </c>
      <c r="J67" t="str">
        <v>010534646</v>
      </c>
      <c r="K67" t="str">
        <v>Béton prêt à l'emploi</v>
      </c>
      <c r="L67" s="5">
        <v>0.15060240963855431</v>
      </c>
    </row>
    <row r="68" spans="1:12" x14ac:dyDescent="0.25">
      <c r="A68" s="121" t="s">
        <v>84</v>
      </c>
      <c r="B68" s="121" t="s">
        <v>159</v>
      </c>
      <c r="C68" s="21">
        <v>0.43963782696177045</v>
      </c>
      <c r="J68" t="str">
        <v>010534696</v>
      </c>
      <c r="K68" t="str">
        <v>Moteurs, génératrices, transfo. électr., matér. distrib., cmde électr.</v>
      </c>
      <c r="L68" s="5">
        <v>0.14931237721021606</v>
      </c>
    </row>
    <row r="69" spans="1:12" x14ac:dyDescent="0.25">
      <c r="A69" s="121" t="s">
        <v>85</v>
      </c>
      <c r="B69" s="121" t="s">
        <v>160</v>
      </c>
      <c r="C69" s="21">
        <v>0.14931237721021606</v>
      </c>
      <c r="J69" t="str">
        <v>010534647</v>
      </c>
      <c r="K69" t="str">
        <v>Mortiers et bétons secs</v>
      </c>
      <c r="L69" s="5">
        <v>0.14902363823227138</v>
      </c>
    </row>
    <row r="70" spans="1:12" x14ac:dyDescent="0.25">
      <c r="A70" s="121" t="s">
        <v>86</v>
      </c>
      <c r="B70" s="121" t="s">
        <v>161</v>
      </c>
      <c r="C70" s="21">
        <v>0.15988083416087373</v>
      </c>
      <c r="J70" t="str">
        <v>001711009</v>
      </c>
      <c r="K70" t="str">
        <v>Matériel</v>
      </c>
      <c r="L70" s="5">
        <v>0.12487992315081642</v>
      </c>
    </row>
    <row r="71" spans="1:12" x14ac:dyDescent="0.25">
      <c r="A71" s="121" t="s">
        <v>87</v>
      </c>
      <c r="B71" s="121" t="s">
        <v>162</v>
      </c>
      <c r="C71" s="21">
        <v>5.967078189300401E-2</v>
      </c>
      <c r="J71" t="str">
        <v>010536067</v>
      </c>
      <c r="K71" t="str">
        <v>Sables et granulats</v>
      </c>
      <c r="L71" s="5">
        <v>0.1202020202020202</v>
      </c>
    </row>
    <row r="72" spans="1:12" x14ac:dyDescent="0.25">
      <c r="A72" s="121" t="s">
        <v>88</v>
      </c>
      <c r="B72" s="121" t="s">
        <v>163</v>
      </c>
      <c r="C72" s="21">
        <v>-1.132075471698113E-2</v>
      </c>
      <c r="J72" t="str">
        <v>001711011</v>
      </c>
      <c r="K72" t="str">
        <v>Frais divers</v>
      </c>
      <c r="L72" s="5">
        <v>0.11133004926108381</v>
      </c>
    </row>
    <row r="73" spans="1:12" x14ac:dyDescent="0.25">
      <c r="A73" s="121" t="s">
        <v>89</v>
      </c>
      <c r="B73" s="121" t="s">
        <v>164</v>
      </c>
      <c r="C73" s="21">
        <v>0.4594078319006687</v>
      </c>
      <c r="J73" t="str">
        <v>001711943</v>
      </c>
      <c r="K73" t="str">
        <v>Transports routiers</v>
      </c>
      <c r="L73" s="5">
        <v>0.10890151515151514</v>
      </c>
    </row>
    <row r="74" spans="1:12" x14ac:dyDescent="0.25">
      <c r="A74" s="121" t="s">
        <v>90</v>
      </c>
      <c r="B74" s="121" t="s">
        <v>165</v>
      </c>
      <c r="C74" s="21">
        <v>0.58584987057808458</v>
      </c>
      <c r="J74" t="str">
        <v>001763781</v>
      </c>
      <c r="K74" t="str">
        <v>Restaurants et hôtels</v>
      </c>
      <c r="L74" s="5">
        <v>0.10755589822667688</v>
      </c>
    </row>
    <row r="75" spans="1:12" x14ac:dyDescent="0.25">
      <c r="A75" s="121" t="s">
        <v>91</v>
      </c>
      <c r="B75" s="121" t="s">
        <v>166</v>
      </c>
      <c r="C75" s="21">
        <v>0.62560153994225209</v>
      </c>
      <c r="J75" t="str">
        <v>010534769</v>
      </c>
      <c r="K75" t="str">
        <v>Électricité vendue aux entreprises consommatrices finales</v>
      </c>
      <c r="L75" s="5">
        <v>0.10414746543778808</v>
      </c>
    </row>
    <row r="76" spans="1:12" x14ac:dyDescent="0.25">
      <c r="A76" s="121" t="s">
        <v>92</v>
      </c>
      <c r="B76" s="121" t="s">
        <v>167</v>
      </c>
      <c r="C76" s="21">
        <v>0.31645569620253156</v>
      </c>
      <c r="J76" t="str">
        <v>001565195</v>
      </c>
      <c r="K76" t="str">
        <v>Travail activités spécialisées</v>
      </c>
      <c r="L76" s="5">
        <v>9.0356211989574442E-2</v>
      </c>
    </row>
    <row r="77" spans="1:12" x14ac:dyDescent="0.25">
      <c r="A77" s="121" t="s">
        <v>93</v>
      </c>
      <c r="B77" s="121" t="s">
        <v>168</v>
      </c>
      <c r="C77" s="21">
        <v>0.10755589822667688</v>
      </c>
      <c r="J77" t="str">
        <v>010534702</v>
      </c>
      <c r="K77" t="str">
        <v>Appareils d'éclairage électrique</v>
      </c>
      <c r="L77" s="5">
        <v>5.967078189300401E-2</v>
      </c>
    </row>
    <row r="78" spans="1:12" x14ac:dyDescent="0.25">
      <c r="A78" s="121" t="s">
        <v>94</v>
      </c>
      <c r="B78" s="121" t="s">
        <v>169</v>
      </c>
      <c r="C78" s="21">
        <v>0.20396600566572221</v>
      </c>
      <c r="J78" t="str">
        <v>5540998</v>
      </c>
      <c r="K78" t="str">
        <v>Travail</v>
      </c>
      <c r="L78" s="5">
        <v>5.0084889643463582E-2</v>
      </c>
    </row>
    <row r="79" spans="1:12" x14ac:dyDescent="0.25">
      <c r="A79" s="121" t="s">
        <v>95</v>
      </c>
      <c r="B79" s="121" t="s">
        <v>170</v>
      </c>
      <c r="C79" s="21">
        <v>0.25168107588856881</v>
      </c>
      <c r="J79" t="str">
        <v>010535345</v>
      </c>
      <c r="K79" t="str">
        <v>Câbles de fibres optiques</v>
      </c>
      <c r="L79" s="5">
        <v>-1.132075471698113E-2</v>
      </c>
    </row>
    <row r="81" spans="3:44" x14ac:dyDescent="0.25">
      <c r="C81">
        <f>('CUMULS INDICES'!B205/'CUMULS INDICES'!B204)-1</f>
        <v>0.12487992315081642</v>
      </c>
      <c r="D81" s="121">
        <f>('CUMULS INDICES'!C205/'CUMULS INDICES'!C204)-1</f>
        <v>5.0084889643463582E-2</v>
      </c>
      <c r="E81" s="121">
        <f>('CUMULS INDICES'!D205/'CUMULS INDICES'!D204)-1</f>
        <v>9.0356211989574442E-2</v>
      </c>
      <c r="F81" s="121">
        <f>('CUMULS INDICES'!E205/'CUMULS INDICES'!E204)-1</f>
        <v>0.33787726901378567</v>
      </c>
      <c r="G81" s="121">
        <f>('CUMULS INDICES'!F205/'CUMULS INDICES'!F204)-1</f>
        <v>0.23361372532689284</v>
      </c>
      <c r="H81" s="121">
        <f>('CUMULS INDICES'!G205/'CUMULS INDICES'!G204)-1</f>
        <v>0.11133004926108381</v>
      </c>
      <c r="I81" s="121">
        <f>('CUMULS INDICES'!H205/'CUMULS INDICES'!H204)-1</f>
        <v>0.10890151515151514</v>
      </c>
      <c r="J81" s="121">
        <f>('CUMULS INDICES'!I205/'CUMULS INDICES'!I204)-1</f>
        <v>0.10414746543778808</v>
      </c>
      <c r="K81" s="121">
        <f>('CUMULS INDICES'!J205/'CUMULS INDICES'!J204)-1</f>
        <v>8.8064516129032242</v>
      </c>
      <c r="L81" s="121">
        <f>('CUMULS INDICES'!K205/'CUMULS INDICES'!K204)-1</f>
        <v>0.32609269719374367</v>
      </c>
      <c r="M81" s="121">
        <f>('CUMULS INDICES'!L205/'CUMULS INDICES'!L204)-1</f>
        <v>0.37348178137651811</v>
      </c>
      <c r="N81" s="121">
        <f>('CUMULS INDICES'!M205/'CUMULS INDICES'!M204)-1</f>
        <v>0.5093984962406013</v>
      </c>
      <c r="O81" s="121">
        <f>('CUMULS INDICES'!N205/'CUMULS INDICES'!N204)-1</f>
        <v>0.15060240963855431</v>
      </c>
      <c r="P81" s="121">
        <f>('CUMULS INDICES'!O205/'CUMULS INDICES'!O204)-1</f>
        <v>0.79342723004694826</v>
      </c>
      <c r="Q81" s="121">
        <f>('CUMULS INDICES'!P205/'CUMULS INDICES'!P204)-1</f>
        <v>0.1202020202020202</v>
      </c>
      <c r="R81" s="121">
        <f>('CUMULS INDICES'!Q205/'CUMULS INDICES'!Q204)-1</f>
        <v>0.35079051383399196</v>
      </c>
      <c r="S81" s="121">
        <f>('CUMULS INDICES'!R205/'CUMULS INDICES'!R204)-1</f>
        <v>0.3296921549155909</v>
      </c>
      <c r="T81" s="121">
        <f>('CUMULS INDICES'!S205/'CUMULS INDICES'!S204)-1</f>
        <v>0.67402206619859584</v>
      </c>
      <c r="U81" s="121">
        <f>('CUMULS INDICES'!T205/'CUMULS INDICES'!T204)-1</f>
        <v>0.96022727272727271</v>
      </c>
      <c r="V81" s="121">
        <f>('CUMULS INDICES'!U205/'CUMULS INDICES'!U204)-1</f>
        <v>0.72587185725871861</v>
      </c>
      <c r="W81" s="121">
        <f>('CUMULS INDICES'!V205/'CUMULS INDICES'!V204)-1</f>
        <v>0.22381930184804921</v>
      </c>
      <c r="X81" s="121">
        <f>('CUMULS INDICES'!W205/'CUMULS INDICES'!W204)-1</f>
        <v>0.14902363823227138</v>
      </c>
      <c r="Y81" s="121">
        <f>('CUMULS INDICES'!X205/'CUMULS INDICES'!X204)-1</f>
        <v>0.38193688792165381</v>
      </c>
      <c r="Z81" s="121">
        <f>('CUMULS INDICES'!Y205/'CUMULS INDICES'!Y204)-1</f>
        <v>0.32934131736526928</v>
      </c>
      <c r="AA81" s="121">
        <f>('CUMULS INDICES'!Z205/'CUMULS INDICES'!Z204)-1</f>
        <v>0.200339113680154</v>
      </c>
      <c r="AB81" s="121">
        <f>('CUMULS INDICES'!AA205/'CUMULS INDICES'!AA204)-1</f>
        <v>0.15287244401168465</v>
      </c>
      <c r="AC81" s="121">
        <f>('CUMULS INDICES'!AB205/'CUMULS INDICES'!AB204)-1</f>
        <v>0.5800575263662513</v>
      </c>
      <c r="AD81" s="121">
        <f>('CUMULS INDICES'!AC205/'CUMULS INDICES'!AC204)-1</f>
        <v>0.44550669216061189</v>
      </c>
      <c r="AE81" s="121">
        <f>('CUMULS INDICES'!AD205/'CUMULS INDICES'!AD204)-1</f>
        <v>0.24405377456049626</v>
      </c>
      <c r="AF81" s="121">
        <f>('CUMULS INDICES'!AE205/'CUMULS INDICES'!AE204)-1</f>
        <v>0.43963782696177045</v>
      </c>
      <c r="AG81" s="121">
        <f>('CUMULS INDICES'!AF205/'CUMULS INDICES'!AF204)-1</f>
        <v>0.14931237721021606</v>
      </c>
      <c r="AH81" s="121">
        <f>('CUMULS INDICES'!AG205/'CUMULS INDICES'!AG204)-1</f>
        <v>0.15988083416087373</v>
      </c>
      <c r="AI81" s="121">
        <f>('CUMULS INDICES'!AH205/'CUMULS INDICES'!AH204)-1</f>
        <v>5.967078189300401E-2</v>
      </c>
      <c r="AJ81" s="121">
        <f>('CUMULS INDICES'!AI205/'CUMULS INDICES'!AI204)-1</f>
        <v>-1.132075471698113E-2</v>
      </c>
      <c r="AK81" s="121">
        <f>('CUMULS INDICES'!AJ205/'CUMULS INDICES'!AJ204)-1</f>
        <v>0.4594078319006687</v>
      </c>
      <c r="AL81" s="121">
        <f>('CUMULS INDICES'!AK205/'CUMULS INDICES'!AK204)-1</f>
        <v>0.58584987057808458</v>
      </c>
      <c r="AM81" s="121">
        <f>('CUMULS INDICES'!AL205/'CUMULS INDICES'!AL204)-1</f>
        <v>0.62560153994225209</v>
      </c>
      <c r="AN81" s="121">
        <f>('CUMULS INDICES'!AM205/'CUMULS INDICES'!AM204)-1</f>
        <v>0.31645569620253156</v>
      </c>
      <c r="AO81" s="121">
        <f>('CUMULS INDICES'!AN205/'CUMULS INDICES'!AN204)-1</f>
        <v>0.10755589822667688</v>
      </c>
      <c r="AP81" s="121">
        <f>('CUMULS INDICES'!AO205/'CUMULS INDICES'!AO204)-1</f>
        <v>0.20396600566572221</v>
      </c>
      <c r="AQ81" s="121">
        <f>('CUMULS INDICES'!AP205/'CUMULS INDICES'!AP204)-1</f>
        <v>0.25168107588856881</v>
      </c>
      <c r="AR81" s="121"/>
    </row>
  </sheetData>
  <sheetProtection algorithmName="SHA-512" hashValue="D4w4xgeFw4spGpsKRi61oE7OBF1l49fBe+PxqKGiBEXfiEIW7fF+OQiY9E+xaIm75PKWLCIT8bfDb4qWZVoMlQ==" saltValue="KFePE2yzzbzZCijv4GqN6w==" spinCount="100000" sheet="1" objects="1" scenarios="1"/>
  <mergeCells count="6">
    <mergeCell ref="A1:L1"/>
    <mergeCell ref="A6:C6"/>
    <mergeCell ref="J6:L6"/>
    <mergeCell ref="A35:L35"/>
    <mergeCell ref="A38:C38"/>
    <mergeCell ref="J38:L38"/>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S254"/>
  <sheetViews>
    <sheetView topLeftCell="A235" workbookViewId="0">
      <selection activeCell="H164" sqref="H164"/>
    </sheetView>
  </sheetViews>
  <sheetFormatPr baseColWidth="10" defaultRowHeight="15" x14ac:dyDescent="0.25"/>
  <cols>
    <col min="1" max="1" width="25.7109375" customWidth="1"/>
    <col min="2" max="2" width="11.5703125" customWidth="1"/>
    <col min="3" max="3" width="74.85546875" bestFit="1" customWidth="1"/>
  </cols>
  <sheetData>
    <row r="1" spans="1:13" x14ac:dyDescent="0.25">
      <c r="A1" s="260" t="s">
        <v>272</v>
      </c>
      <c r="B1" s="261"/>
      <c r="C1" s="261"/>
      <c r="D1" s="261"/>
      <c r="E1" s="261"/>
      <c r="F1" s="261"/>
      <c r="G1" s="261"/>
    </row>
    <row r="2" spans="1:13" x14ac:dyDescent="0.25">
      <c r="A2" s="261"/>
      <c r="B2" s="261"/>
      <c r="C2" s="261"/>
      <c r="D2" s="261"/>
      <c r="E2" s="261"/>
      <c r="F2" s="261"/>
      <c r="G2" s="261"/>
    </row>
    <row r="4" spans="1:13" x14ac:dyDescent="0.25">
      <c r="A4" s="259" t="s">
        <v>273</v>
      </c>
      <c r="B4" s="262"/>
      <c r="C4" s="262"/>
      <c r="D4" s="262"/>
      <c r="E4" s="262"/>
    </row>
    <row r="6" spans="1:13" s="121" customFormat="1" x14ac:dyDescent="0.25">
      <c r="A6" s="3"/>
      <c r="B6" s="252" t="s">
        <v>208</v>
      </c>
      <c r="C6" s="252"/>
      <c r="D6" s="252"/>
      <c r="E6" s="252"/>
      <c r="J6" s="252" t="s">
        <v>209</v>
      </c>
      <c r="K6" s="252"/>
      <c r="L6" s="252"/>
      <c r="M6" s="252"/>
    </row>
    <row r="7" spans="1:13" x14ac:dyDescent="0.25">
      <c r="D7" t="str">
        <f>'A MODIFIER'!E13</f>
        <v xml:space="preserve">*12 mois </v>
      </c>
      <c r="E7" t="str">
        <f>'A MODIFIER'!E14</f>
        <v>*24 mois</v>
      </c>
      <c r="L7" s="121" t="str">
        <f>'A MODIFIER'!E13</f>
        <v xml:space="preserve">*12 mois </v>
      </c>
      <c r="M7" s="121" t="str">
        <f>'A MODIFIER'!E14</f>
        <v>*24 mois</v>
      </c>
    </row>
    <row r="8" spans="1:13" x14ac:dyDescent="0.25">
      <c r="A8" s="39" t="s">
        <v>96</v>
      </c>
      <c r="B8" s="121" t="s">
        <v>56</v>
      </c>
      <c r="C8" s="181" t="s">
        <v>134</v>
      </c>
      <c r="D8" s="5" cm="1">
        <f t="array" ref="D8:D48">TRANSPOSE(D50:AR50)</f>
        <v>5.7538750587130094E-2</v>
      </c>
      <c r="E8" s="5" cm="1">
        <f t="array" ref="E8:E48">TRANSPOSE(D51:AR51)</f>
        <v>7.727272727272716E-2</v>
      </c>
      <c r="I8" t="str" cm="1">
        <f t="array" ref="I8:M48">_xlfn._xlws.SORT(A8:E48,4,-1,FALSE)</f>
        <v>https://www.insee.fr/fr/statistiques/serie/010534776</v>
      </c>
      <c r="J8" t="str">
        <v>010534776</v>
      </c>
      <c r="K8" t="str">
        <v>Gaz naturel</v>
      </c>
      <c r="L8" s="5">
        <v>3.6738646961761967</v>
      </c>
      <c r="M8" s="5">
        <v>10.584103840682786</v>
      </c>
    </row>
    <row r="9" spans="1:13" x14ac:dyDescent="0.25">
      <c r="A9" s="39" t="s">
        <v>97</v>
      </c>
      <c r="B9" s="121" t="s">
        <v>57</v>
      </c>
      <c r="C9" s="121" t="s">
        <v>135</v>
      </c>
      <c r="D9" s="5">
        <v>6.7732321864011347E-4</v>
      </c>
      <c r="E9" s="5">
        <v>-4.5145205848661218E-3</v>
      </c>
      <c r="I9" t="str">
        <v>https://www.fntp.fr/sites/default/files/content/indice_gazole_htt.pdf</v>
      </c>
      <c r="J9" t="str">
        <v>Gazole routier HTT</v>
      </c>
      <c r="K9" t="str">
        <v>Gazole routier HTT</v>
      </c>
      <c r="L9" s="5">
        <v>0.63544777031106636</v>
      </c>
      <c r="M9" s="5">
        <v>0.96437576581007756</v>
      </c>
    </row>
    <row r="10" spans="1:13" x14ac:dyDescent="0.25">
      <c r="A10" s="39" t="s">
        <v>98</v>
      </c>
      <c r="B10" s="121" t="s">
        <v>58</v>
      </c>
      <c r="C10" s="121" t="s">
        <v>136</v>
      </c>
      <c r="D10" s="5">
        <v>9.1898101223057971E-3</v>
      </c>
      <c r="E10" s="5">
        <v>2.8652111026930216E-2</v>
      </c>
      <c r="I10" t="str">
        <v>https://www.insee.fr/fr/statistiques/serie/010536462</v>
      </c>
      <c r="J10" t="str">
        <v>010536462</v>
      </c>
      <c r="K10" t="str">
        <v>Acier pour la construction</v>
      </c>
      <c r="L10" s="5">
        <v>0.54176953551128193</v>
      </c>
      <c r="M10" s="5">
        <v>1.0512565884959133</v>
      </c>
    </row>
    <row r="11" spans="1:13" x14ac:dyDescent="0.25">
      <c r="A11" s="37" t="s">
        <v>279</v>
      </c>
      <c r="B11" s="94" t="s">
        <v>280</v>
      </c>
      <c r="C11" s="121" t="s">
        <v>137</v>
      </c>
      <c r="D11" s="5">
        <v>0.54049708682230979</v>
      </c>
      <c r="E11" s="5">
        <v>0.63456592783673882</v>
      </c>
      <c r="I11" t="str">
        <v>https://www.insee.fr/fr/statistiques/serie/010758171#Tableau</v>
      </c>
      <c r="J11" t="str">
        <v>010758171</v>
      </c>
      <c r="K11" t="str">
        <v>GNR</v>
      </c>
      <c r="L11" s="5">
        <v>0.54049708682230979</v>
      </c>
      <c r="M11" s="5">
        <v>0.63456592783673882</v>
      </c>
    </row>
    <row r="12" spans="1:13" x14ac:dyDescent="0.25">
      <c r="A12" s="39" t="s">
        <v>99</v>
      </c>
      <c r="B12" s="121" t="s">
        <v>59</v>
      </c>
      <c r="C12" s="121" t="s">
        <v>138</v>
      </c>
      <c r="D12" s="5">
        <v>0.31137758948766736</v>
      </c>
      <c r="E12" s="5">
        <v>0.33600345286690358</v>
      </c>
      <c r="I12" t="str">
        <v>https://www.insee.fr/fr/statistiques/serie/010546545</v>
      </c>
      <c r="J12" t="str">
        <v>010546545</v>
      </c>
      <c r="K12" t="str">
        <v>Barres crénelées ou nervurées pour béton armé</v>
      </c>
      <c r="L12" s="5">
        <v>0.48807472063156676</v>
      </c>
      <c r="M12" s="5">
        <v>1.009459459459459</v>
      </c>
    </row>
    <row r="13" spans="1:13" x14ac:dyDescent="0.25">
      <c r="A13" s="39" t="s">
        <v>100</v>
      </c>
      <c r="B13" s="121" t="s">
        <v>60</v>
      </c>
      <c r="C13" s="121" t="s">
        <v>139</v>
      </c>
      <c r="D13" s="5">
        <v>5.1095474172397015E-2</v>
      </c>
      <c r="E13" s="5">
        <v>5.7096903900281326E-2</v>
      </c>
      <c r="I13" t="str">
        <v>https://www.insee.fr/fr/statistiques/serie/010534598</v>
      </c>
      <c r="J13" t="str">
        <v>010534598</v>
      </c>
      <c r="K13" t="str">
        <v>Bitume</v>
      </c>
      <c r="L13" s="5">
        <v>0.44381239194690769</v>
      </c>
      <c r="M13" s="5">
        <v>0.59267917563826522</v>
      </c>
    </row>
    <row r="14" spans="1:13" x14ac:dyDescent="0.25">
      <c r="A14" s="39" t="s">
        <v>101</v>
      </c>
      <c r="B14" s="121" t="s">
        <v>61</v>
      </c>
      <c r="C14" s="121" t="s">
        <v>140</v>
      </c>
      <c r="D14" s="5">
        <v>3.6811682385153643E-2</v>
      </c>
      <c r="E14" s="5">
        <v>3.4922563012450558E-2</v>
      </c>
      <c r="I14" t="str">
        <v>https://www.insee.fr/fr/statistiques/serie/010534267</v>
      </c>
      <c r="J14" t="str">
        <v>010534267</v>
      </c>
      <c r="K14" t="str">
        <v>Produits sidérurgiques en acier non allié</v>
      </c>
      <c r="L14" s="5">
        <v>0.40901270513499211</v>
      </c>
      <c r="M14" s="5">
        <v>0.66520685070775021</v>
      </c>
    </row>
    <row r="15" spans="1:13" x14ac:dyDescent="0.25">
      <c r="A15" s="39" t="s">
        <v>102</v>
      </c>
      <c r="B15" s="121" t="s">
        <v>62</v>
      </c>
      <c r="C15" s="121" t="s">
        <v>141</v>
      </c>
      <c r="D15" s="5">
        <v>0.12702443041449341</v>
      </c>
      <c r="E15" s="5">
        <v>0.1640087887164221</v>
      </c>
      <c r="I15" t="str">
        <v>https://www.insee.fr/fr/statistiques/serie/010536480</v>
      </c>
      <c r="J15" t="str">
        <v>010536480</v>
      </c>
      <c r="K15" t="str">
        <v>Tôles quarto et autres produits plats en aciers non alliés de qualité</v>
      </c>
      <c r="L15" s="5">
        <v>0.40604931929103505</v>
      </c>
      <c r="M15" s="5">
        <v>0.97216717708520983</v>
      </c>
    </row>
    <row r="16" spans="1:13" x14ac:dyDescent="0.25">
      <c r="A16" s="223" t="s">
        <v>297</v>
      </c>
      <c r="B16" s="235" t="s">
        <v>296</v>
      </c>
      <c r="C16" s="235" t="s">
        <v>294</v>
      </c>
      <c r="D16" s="5">
        <v>3.6738646961761967</v>
      </c>
      <c r="E16" s="5">
        <v>10.584103840682786</v>
      </c>
      <c r="I16" t="str">
        <v>https://www.insee.fr/fr/statistiques/serie/010534606</v>
      </c>
      <c r="J16" t="str">
        <v>010534606</v>
      </c>
      <c r="K16" t="str">
        <v>Matières plastiques sous formes primaires</v>
      </c>
      <c r="L16" s="5">
        <v>0.35020596243803692</v>
      </c>
      <c r="M16" s="5">
        <v>0.73319591324610145</v>
      </c>
    </row>
    <row r="17" spans="1:13" x14ac:dyDescent="0.25">
      <c r="A17" s="39" t="s">
        <v>104</v>
      </c>
      <c r="B17" s="121" t="s">
        <v>64</v>
      </c>
      <c r="C17" s="121" t="s">
        <v>64</v>
      </c>
      <c r="D17" s="5">
        <v>0.63544777031106636</v>
      </c>
      <c r="E17" s="5">
        <v>0.96437576581007756</v>
      </c>
      <c r="I17" t="str">
        <v>https://www.insee.fr/fr/statistiques/serie/010534613</v>
      </c>
      <c r="J17" t="str">
        <v>010534613</v>
      </c>
      <c r="K17" t="str">
        <v>Autres produits explosifs</v>
      </c>
      <c r="L17" s="5">
        <v>0.32883665948126017</v>
      </c>
      <c r="M17" s="5">
        <v>0.43511565034544919</v>
      </c>
    </row>
    <row r="18" spans="1:13" x14ac:dyDescent="0.25">
      <c r="A18" s="39" t="s">
        <v>105</v>
      </c>
      <c r="B18" s="121" t="s">
        <v>65</v>
      </c>
      <c r="C18" s="121" t="s">
        <v>142</v>
      </c>
      <c r="D18" s="5">
        <v>0.21408625504188672</v>
      </c>
      <c r="E18" s="5">
        <v>0.30357291579911738</v>
      </c>
      <c r="I18" t="str">
        <v>https://www.insee.fr/fr/statistiques/serie/001764283</v>
      </c>
      <c r="J18" t="str">
        <v>001764283</v>
      </c>
      <c r="K18" t="str">
        <v>Gazole</v>
      </c>
      <c r="L18" s="5">
        <v>0.31137758948766736</v>
      </c>
      <c r="M18" s="5">
        <v>0.33600345286690358</v>
      </c>
    </row>
    <row r="19" spans="1:13" x14ac:dyDescent="0.25">
      <c r="A19" s="39" t="s">
        <v>106</v>
      </c>
      <c r="B19" s="121" t="s">
        <v>66</v>
      </c>
      <c r="C19" s="121" t="s">
        <v>143</v>
      </c>
      <c r="D19" s="5">
        <v>0.27967210856237501</v>
      </c>
      <c r="E19" s="5">
        <v>0.44624367458154857</v>
      </c>
      <c r="I19" t="str">
        <v>https://www.insee.fr/fr/statistiques/serie/010534575</v>
      </c>
      <c r="J19" t="str">
        <v>010534575</v>
      </c>
      <c r="K19" t="str">
        <v>Ensemble des produits du sciage</v>
      </c>
      <c r="L19" s="5">
        <v>0.27967210856237501</v>
      </c>
      <c r="M19" s="5">
        <v>0.44624367458154857</v>
      </c>
    </row>
    <row r="20" spans="1:13" x14ac:dyDescent="0.25">
      <c r="A20" s="39" t="s">
        <v>107</v>
      </c>
      <c r="B20" s="121" t="s">
        <v>67</v>
      </c>
      <c r="C20" s="121" t="s">
        <v>144</v>
      </c>
      <c r="D20" s="5">
        <v>4.4797233574347617E-2</v>
      </c>
      <c r="E20" s="5">
        <v>5.8102515122572251E-2</v>
      </c>
      <c r="I20" t="str">
        <v>https://www.insee.fr/fr/statistiques/serie/010534330</v>
      </c>
      <c r="J20" t="str">
        <v>010534330</v>
      </c>
      <c r="K20" t="str">
        <v>Fils et câbles d'énergie</v>
      </c>
      <c r="L20" s="5">
        <v>0.258076952733441</v>
      </c>
      <c r="M20" s="5">
        <v>0.43273621355813119</v>
      </c>
    </row>
    <row r="21" spans="1:13" x14ac:dyDescent="0.25">
      <c r="A21" s="39" t="s">
        <v>108</v>
      </c>
      <c r="B21" s="121" t="s">
        <v>68</v>
      </c>
      <c r="C21" s="121" t="s">
        <v>145</v>
      </c>
      <c r="D21" s="5">
        <v>0.48807472063156676</v>
      </c>
      <c r="E21" s="5">
        <v>1.009459459459459</v>
      </c>
      <c r="I21" t="str">
        <v>https://www.insee.fr/fr/statistiques/serie/010534625</v>
      </c>
      <c r="J21" t="str">
        <v>010534625</v>
      </c>
      <c r="K21" t="str">
        <v>Plaques, feuilles, tubes et profilés en matières plastiques</v>
      </c>
      <c r="L21" s="5">
        <v>0.23349738301695178</v>
      </c>
      <c r="M21" s="5">
        <v>0.35909795145463952</v>
      </c>
    </row>
    <row r="22" spans="1:13" x14ac:dyDescent="0.25">
      <c r="A22" s="39" t="s">
        <v>109</v>
      </c>
      <c r="B22" s="121" t="s">
        <v>69</v>
      </c>
      <c r="C22" s="121" t="s">
        <v>146</v>
      </c>
      <c r="D22" s="5">
        <v>3.1362797786155472E-2</v>
      </c>
      <c r="E22" s="5">
        <v>4.5110948549134555E-2</v>
      </c>
      <c r="I22" t="str">
        <v>https://www.insee.fr/fr/statistiques/serie/010534654</v>
      </c>
      <c r="J22" t="str">
        <v>010534654</v>
      </c>
      <c r="K22" t="str">
        <v>Tubes, tuyaux, profilés creux et accessoires correspondants en acier</v>
      </c>
      <c r="L22" s="5">
        <v>0.23276827720110527</v>
      </c>
      <c r="M22" s="5">
        <v>0.29790077836307871</v>
      </c>
    </row>
    <row r="23" spans="1:13" x14ac:dyDescent="0.25">
      <c r="A23" s="39" t="s">
        <v>110</v>
      </c>
      <c r="B23" s="121" t="s">
        <v>70</v>
      </c>
      <c r="C23" s="121" t="s">
        <v>147</v>
      </c>
      <c r="D23" s="5">
        <v>0.23349738301695178</v>
      </c>
      <c r="E23" s="5">
        <v>0.35909795145463952</v>
      </c>
      <c r="I23" t="str">
        <v>https://www.insee.fr/fr/statistiques/serie/010534207</v>
      </c>
      <c r="J23" t="str">
        <v>010534207</v>
      </c>
      <c r="K23" t="str">
        <v>Tubes, tuyaux en matière plastique</v>
      </c>
      <c r="L23" s="5">
        <v>0.21408625504188672</v>
      </c>
      <c r="M23" s="5">
        <v>0.30357291579911738</v>
      </c>
    </row>
    <row r="24" spans="1:13" x14ac:dyDescent="0.25">
      <c r="A24" s="39" t="s">
        <v>111</v>
      </c>
      <c r="B24" s="121" t="s">
        <v>71</v>
      </c>
      <c r="C24" s="121" t="s">
        <v>148</v>
      </c>
      <c r="D24" s="5">
        <v>0.17829705505761861</v>
      </c>
      <c r="E24" s="5">
        <v>0.1990228013029316</v>
      </c>
      <c r="I24" t="str">
        <v>https://www.insee.fr/fr/statistiques/serie/010534662</v>
      </c>
      <c r="J24" t="str">
        <v>010534662</v>
      </c>
      <c r="K24" t="str">
        <v>Travaux de fonderie de fonte</v>
      </c>
      <c r="L24" s="5">
        <v>0.18987993138936532</v>
      </c>
      <c r="M24" s="5">
        <v>0.2257266542980827</v>
      </c>
    </row>
    <row r="25" spans="1:13" x14ac:dyDescent="0.25">
      <c r="A25" s="39" t="s">
        <v>285</v>
      </c>
      <c r="B25" s="94" t="s">
        <v>284</v>
      </c>
      <c r="C25" s="121" t="s">
        <v>287</v>
      </c>
      <c r="D25" s="5">
        <v>0.32883665948126017</v>
      </c>
      <c r="E25" s="5">
        <v>0.43511565034544919</v>
      </c>
      <c r="I25" t="str">
        <v>https://www.insee.fr/fr/statistiques/serie/010534180</v>
      </c>
      <c r="J25" t="str">
        <v>010534180</v>
      </c>
      <c r="K25" t="str">
        <v>Peintures Industries</v>
      </c>
      <c r="L25" s="5">
        <v>0.18049285872863163</v>
      </c>
      <c r="M25" s="5">
        <v>0.20565338976645742</v>
      </c>
    </row>
    <row r="26" spans="1:13" x14ac:dyDescent="0.25">
      <c r="A26" s="39" t="s">
        <v>112</v>
      </c>
      <c r="B26" s="121" t="s">
        <v>73</v>
      </c>
      <c r="C26" s="121" t="s">
        <v>149</v>
      </c>
      <c r="D26" s="5">
        <v>0.54176953551128193</v>
      </c>
      <c r="E26" s="5">
        <v>1.0512565884959133</v>
      </c>
      <c r="I26" t="str">
        <v>https://www.insee.fr/fr/statistiques/serie/010534642</v>
      </c>
      <c r="J26" t="str">
        <v>010534642</v>
      </c>
      <c r="K26" t="str">
        <v>Ciment, chaux et plâtre</v>
      </c>
      <c r="L26" s="5">
        <v>0.17829705505761861</v>
      </c>
      <c r="M26" s="5">
        <v>0.1990228013029316</v>
      </c>
    </row>
    <row r="27" spans="1:13" x14ac:dyDescent="0.25">
      <c r="A27" s="39" t="s">
        <v>113</v>
      </c>
      <c r="B27" s="121" t="s">
        <v>74</v>
      </c>
      <c r="C27" s="121" t="s">
        <v>150</v>
      </c>
      <c r="D27" s="5">
        <v>0.44381239194690769</v>
      </c>
      <c r="E27" s="5">
        <v>0.59267917563826522</v>
      </c>
      <c r="I27" t="str">
        <v>https://www.insee.fr/fr/statistiques/serie/010534638</v>
      </c>
      <c r="J27" t="str">
        <v>010534638</v>
      </c>
      <c r="K27" t="str">
        <v>Tuiles, briques et produits de construction en terre cuite</v>
      </c>
      <c r="L27" s="5">
        <v>0.1580976863753214</v>
      </c>
      <c r="M27" s="5">
        <v>0.17003489976462949</v>
      </c>
    </row>
    <row r="28" spans="1:13" x14ac:dyDescent="0.25">
      <c r="A28" s="39" t="s">
        <v>114</v>
      </c>
      <c r="B28" s="121" t="s">
        <v>75</v>
      </c>
      <c r="C28" s="121" t="s">
        <v>151</v>
      </c>
      <c r="D28" s="5">
        <v>9.5757857253444767E-2</v>
      </c>
      <c r="E28" s="5">
        <v>0.13640012845215166</v>
      </c>
      <c r="I28" t="str">
        <v>https://www.insee.fr/fr/statistiques/serie/010534784</v>
      </c>
      <c r="J28" t="str">
        <v>010534784</v>
      </c>
      <c r="K28" t="str">
        <v>Collecte, traitement et élimination des déchets ; récupération de matériaux</v>
      </c>
      <c r="L28" s="5">
        <v>0.14365848328112474</v>
      </c>
      <c r="M28" s="5">
        <v>0.31835740678535474</v>
      </c>
    </row>
    <row r="29" spans="1:13" x14ac:dyDescent="0.25">
      <c r="A29" s="39" t="s">
        <v>115</v>
      </c>
      <c r="B29" s="121" t="s">
        <v>76</v>
      </c>
      <c r="C29" s="121" t="s">
        <v>152</v>
      </c>
      <c r="D29" s="5">
        <v>5.9484467944481256E-2</v>
      </c>
      <c r="E29" s="5">
        <v>6.6001662510390746E-2</v>
      </c>
      <c r="I29" t="str">
        <v>https://www.insee.fr/fr/statistiques/serie/010534667</v>
      </c>
      <c r="J29" t="str">
        <v>010534667</v>
      </c>
      <c r="K29" t="str">
        <v>Éléments en métal pour la construction</v>
      </c>
      <c r="L29" s="5">
        <v>0.14222777002716769</v>
      </c>
      <c r="M29" s="5">
        <v>0.19157410953657572</v>
      </c>
    </row>
    <row r="30" spans="1:13" x14ac:dyDescent="0.25">
      <c r="A30" s="39" t="s">
        <v>116</v>
      </c>
      <c r="B30" s="121" t="s">
        <v>77</v>
      </c>
      <c r="C30" s="121" t="s">
        <v>153</v>
      </c>
      <c r="D30" s="5">
        <v>0.18987993138936532</v>
      </c>
      <c r="E30" s="5">
        <v>0.2257266542980827</v>
      </c>
      <c r="I30" t="str">
        <v>https://www.insee.fr/fr/statistiques/serie/010534769</v>
      </c>
      <c r="J30" t="str">
        <v>010534769</v>
      </c>
      <c r="K30" t="str">
        <v>Électricité vendue aux entreprises consommatrices finales</v>
      </c>
      <c r="L30" s="5">
        <v>0.12702443041449341</v>
      </c>
      <c r="M30" s="5">
        <v>0.1640087887164221</v>
      </c>
    </row>
    <row r="31" spans="1:13" x14ac:dyDescent="0.25">
      <c r="A31" s="39" t="s">
        <v>117</v>
      </c>
      <c r="B31" s="121" t="s">
        <v>78</v>
      </c>
      <c r="C31" s="121" t="s">
        <v>154</v>
      </c>
      <c r="D31" s="5">
        <v>0.1580976863753214</v>
      </c>
      <c r="E31" s="5">
        <v>0.17003489976462949</v>
      </c>
      <c r="I31" t="str">
        <v>https://www.insee.fr/fr/statistiques/serie/010534252</v>
      </c>
      <c r="J31" t="str">
        <v>010534252</v>
      </c>
      <c r="K31" t="str">
        <v>Produits de voierie en béton</v>
      </c>
      <c r="L31" s="5">
        <v>9.5757857253444767E-2</v>
      </c>
      <c r="M31" s="5">
        <v>0.13640012845215166</v>
      </c>
    </row>
    <row r="32" spans="1:13" x14ac:dyDescent="0.25">
      <c r="A32" s="39" t="s">
        <v>299</v>
      </c>
      <c r="B32" s="228" t="s">
        <v>300</v>
      </c>
      <c r="C32" s="225" t="s">
        <v>298</v>
      </c>
      <c r="D32" s="5">
        <v>8.7779215716847103E-2</v>
      </c>
      <c r="E32" s="5">
        <v>0.11981894060995191</v>
      </c>
      <c r="I32" t="str">
        <v>https://www.insee.fr/fr/statistiques/serie/010534645</v>
      </c>
      <c r="J32" t="str">
        <v>010534645</v>
      </c>
      <c r="K32" t="str">
        <v>Éléments en béton pour la construction</v>
      </c>
      <c r="L32" s="5">
        <v>8.9128697042366145E-2</v>
      </c>
      <c r="M32" s="5">
        <v>0.10359630649603102</v>
      </c>
    </row>
    <row r="33" spans="1:13" x14ac:dyDescent="0.25">
      <c r="A33" s="39" t="s">
        <v>289</v>
      </c>
      <c r="B33" s="94" t="s">
        <v>290</v>
      </c>
      <c r="C33" s="121" t="s">
        <v>291</v>
      </c>
      <c r="D33" s="5">
        <v>6.6599938404681369E-2</v>
      </c>
      <c r="E33" s="5">
        <v>8.8473324428380851E-2</v>
      </c>
      <c r="I33" t="str">
        <v>https://www.insee.fr/fr/statistiques/serie/010760506</v>
      </c>
      <c r="J33" t="str">
        <v>010760506</v>
      </c>
      <c r="K33" t="str">
        <v>Réseaux d’assainissement</v>
      </c>
      <c r="L33" s="5">
        <v>8.7779215716847103E-2</v>
      </c>
      <c r="M33" s="5">
        <v>0.11981894060995191</v>
      </c>
    </row>
    <row r="34" spans="1:13" x14ac:dyDescent="0.25">
      <c r="A34" s="39" t="s">
        <v>119</v>
      </c>
      <c r="B34" s="121" t="s">
        <v>81</v>
      </c>
      <c r="C34" s="121" t="s">
        <v>156</v>
      </c>
      <c r="D34" s="5">
        <v>0.35020596243803692</v>
      </c>
      <c r="E34" s="5">
        <v>0.73319591324610145</v>
      </c>
      <c r="I34" t="str">
        <v>https://www.insee.fr/fr/statistiques/serie/010534696</v>
      </c>
      <c r="J34" t="str">
        <v>010534696</v>
      </c>
      <c r="K34" t="str">
        <v>Moteurs, génératrices, transfo. électr., matér. distrib., cmde électr.</v>
      </c>
      <c r="L34" s="5">
        <v>7.5332113594781758E-2</v>
      </c>
      <c r="M34" s="5">
        <v>8.8405797101449135E-2</v>
      </c>
    </row>
    <row r="35" spans="1:13" x14ac:dyDescent="0.25">
      <c r="A35" s="39" t="s">
        <v>120</v>
      </c>
      <c r="B35" s="121" t="s">
        <v>82</v>
      </c>
      <c r="C35" s="121" t="s">
        <v>157</v>
      </c>
      <c r="D35" s="5">
        <v>0.23276827720110527</v>
      </c>
      <c r="E35" s="5">
        <v>0.29790077836307871</v>
      </c>
      <c r="I35" t="str">
        <v>https://www.insee.fr/fr/statistiques/serie/010534789</v>
      </c>
      <c r="J35" t="str">
        <v>010534789</v>
      </c>
      <c r="K35" t="str">
        <v>Traitement et élimination des déchets non dangereux</v>
      </c>
      <c r="L35" s="5">
        <v>7.4465029441332709E-2</v>
      </c>
      <c r="M35" s="5">
        <v>0.1190636452023035</v>
      </c>
    </row>
    <row r="36" spans="1:13" x14ac:dyDescent="0.25">
      <c r="A36" s="39" t="s">
        <v>121</v>
      </c>
      <c r="B36" s="121" t="s">
        <v>83</v>
      </c>
      <c r="C36" s="121" t="s">
        <v>158</v>
      </c>
      <c r="D36" s="5">
        <v>8.9128697042366145E-2</v>
      </c>
      <c r="E36" s="5">
        <v>0.10359630649603102</v>
      </c>
      <c r="I36" t="str">
        <v>https://www.insee.fr/fr/statistiques/serie/010534698</v>
      </c>
      <c r="J36" t="str">
        <v>010534698</v>
      </c>
      <c r="K36" t="str">
        <v>Matériel de distribution et de commande électrique</v>
      </c>
      <c r="L36" s="5">
        <v>7.4191252076247993E-2</v>
      </c>
      <c r="M36" s="5">
        <v>9.9765163171106952E-2</v>
      </c>
    </row>
    <row r="37" spans="1:13" x14ac:dyDescent="0.25">
      <c r="A37" s="39" t="s">
        <v>122</v>
      </c>
      <c r="B37" s="121" t="s">
        <v>84</v>
      </c>
      <c r="C37" s="121" t="s">
        <v>159</v>
      </c>
      <c r="D37" s="5">
        <v>0.258076952733441</v>
      </c>
      <c r="E37" s="5">
        <v>0.43273621355813119</v>
      </c>
      <c r="I37" t="str">
        <v>https://www.insee.fr/fr/statistiques/serie/010534554</v>
      </c>
      <c r="J37" t="str">
        <v>010534554</v>
      </c>
      <c r="K37" t="str">
        <v>Autres textiles</v>
      </c>
      <c r="L37" s="5">
        <v>6.6599938404681369E-2</v>
      </c>
      <c r="M37" s="5">
        <v>8.8473324428380851E-2</v>
      </c>
    </row>
    <row r="38" spans="1:13" x14ac:dyDescent="0.25">
      <c r="A38" s="39" t="s">
        <v>123</v>
      </c>
      <c r="B38" s="121" t="s">
        <v>85</v>
      </c>
      <c r="C38" s="121" t="s">
        <v>160</v>
      </c>
      <c r="D38" s="5">
        <v>7.5332113594781758E-2</v>
      </c>
      <c r="E38" s="5">
        <v>8.8405797101449135E-2</v>
      </c>
      <c r="I38" t="str">
        <v>https://www.insee.fr/fr/statistiques/serie/010534647</v>
      </c>
      <c r="J38" t="str">
        <v>010534647</v>
      </c>
      <c r="K38" t="str">
        <v>Mortiers et bétons secs</v>
      </c>
      <c r="L38" s="5">
        <v>5.9484467944481256E-2</v>
      </c>
      <c r="M38" s="5">
        <v>6.6001662510390746E-2</v>
      </c>
    </row>
    <row r="39" spans="1:13" x14ac:dyDescent="0.25">
      <c r="A39" s="39" t="s">
        <v>124</v>
      </c>
      <c r="B39" s="121" t="s">
        <v>86</v>
      </c>
      <c r="C39" s="121" t="s">
        <v>161</v>
      </c>
      <c r="D39" s="5">
        <v>7.4191252076247993E-2</v>
      </c>
      <c r="E39" s="5">
        <v>9.9765163171106952E-2</v>
      </c>
      <c r="I39" t="str">
        <v>https://www.insee.fr/fr/statistiques/serie/001711009</v>
      </c>
      <c r="J39" t="str">
        <v>001711009</v>
      </c>
      <c r="K39" t="str">
        <v>Matériel</v>
      </c>
      <c r="L39" s="5">
        <v>5.7538750587130094E-2</v>
      </c>
      <c r="M39" s="5">
        <v>7.727272727272716E-2</v>
      </c>
    </row>
    <row r="40" spans="1:13" x14ac:dyDescent="0.25">
      <c r="A40" s="39" t="s">
        <v>125</v>
      </c>
      <c r="B40" s="121" t="s">
        <v>87</v>
      </c>
      <c r="C40" s="121" t="s">
        <v>162</v>
      </c>
      <c r="D40" s="5">
        <v>2.284003421727987E-2</v>
      </c>
      <c r="E40" s="5">
        <v>2.6175763817370301E-2</v>
      </c>
      <c r="I40" t="str">
        <v>https://www.insee.fr/fr/statistiques/serie/001711011</v>
      </c>
      <c r="J40" t="str">
        <v>001711011</v>
      </c>
      <c r="K40" t="str">
        <v>Frais divers</v>
      </c>
      <c r="L40" s="5">
        <v>5.1095474172397015E-2</v>
      </c>
      <c r="M40" s="5">
        <v>5.7096903900281326E-2</v>
      </c>
    </row>
    <row r="41" spans="1:13" x14ac:dyDescent="0.25">
      <c r="A41" s="39" t="s">
        <v>126</v>
      </c>
      <c r="B41" s="121" t="s">
        <v>88</v>
      </c>
      <c r="C41" s="121" t="s">
        <v>163</v>
      </c>
      <c r="D41" s="5">
        <v>-8.6275762901425468E-3</v>
      </c>
      <c r="E41" s="5">
        <v>-3.235867446393792E-2</v>
      </c>
      <c r="I41" t="str">
        <v>https://www.insee.fr/fr/statistiques/serie/010534646</v>
      </c>
      <c r="J41" t="str">
        <v>010534646</v>
      </c>
      <c r="K41" t="str">
        <v>Béton prêt à l'emploi</v>
      </c>
      <c r="L41" s="5">
        <v>4.4797233574347617E-2</v>
      </c>
      <c r="M41" s="5">
        <v>5.8102515122572251E-2</v>
      </c>
    </row>
    <row r="42" spans="1:13" x14ac:dyDescent="0.25">
      <c r="A42" s="39" t="s">
        <v>127</v>
      </c>
      <c r="B42" s="121" t="s">
        <v>89</v>
      </c>
      <c r="C42" s="121" t="s">
        <v>164</v>
      </c>
      <c r="D42" s="5">
        <v>0.18049285872863163</v>
      </c>
      <c r="E42" s="5">
        <v>0.20565338976645742</v>
      </c>
      <c r="I42" t="str">
        <v>https://www.insee.fr/fr/statistiques/serie/001763781</v>
      </c>
      <c r="J42" t="str">
        <v>001763781</v>
      </c>
      <c r="K42" t="str">
        <v>Restaurants et hôtels</v>
      </c>
      <c r="L42" s="5">
        <v>3.9309300305217842E-2</v>
      </c>
      <c r="M42" s="5">
        <v>4.3448728339315457E-2</v>
      </c>
    </row>
    <row r="43" spans="1:13" x14ac:dyDescent="0.25">
      <c r="A43" s="39" t="s">
        <v>128</v>
      </c>
      <c r="B43" s="121" t="s">
        <v>90</v>
      </c>
      <c r="C43" s="121" t="s">
        <v>165</v>
      </c>
      <c r="D43" s="5">
        <v>0.40901270513499211</v>
      </c>
      <c r="E43" s="5">
        <v>0.66520685070775021</v>
      </c>
      <c r="I43" t="str">
        <v>https://www.insee.fr/fr/statistiques/serie/001711943</v>
      </c>
      <c r="J43" t="str">
        <v>001711943</v>
      </c>
      <c r="K43" t="str">
        <v>Transports routiers</v>
      </c>
      <c r="L43" s="5">
        <v>3.6811682385153643E-2</v>
      </c>
      <c r="M43" s="5">
        <v>3.4922563012450558E-2</v>
      </c>
    </row>
    <row r="44" spans="1:13" x14ac:dyDescent="0.25">
      <c r="A44" s="39" t="s">
        <v>129</v>
      </c>
      <c r="B44" s="121" t="s">
        <v>91</v>
      </c>
      <c r="C44" s="121" t="s">
        <v>166</v>
      </c>
      <c r="D44" s="5">
        <v>0.40604931929103505</v>
      </c>
      <c r="E44" s="5">
        <v>0.97216717708520983</v>
      </c>
      <c r="I44" t="str">
        <v>https://www.insee.fr/fr/statistiques/serie/010536067</v>
      </c>
      <c r="J44" t="str">
        <v>010536067</v>
      </c>
      <c r="K44" t="str">
        <v>Sables et granulats</v>
      </c>
      <c r="L44" s="5">
        <v>3.1362797786155472E-2</v>
      </c>
      <c r="M44" s="5">
        <v>4.5110948549134555E-2</v>
      </c>
    </row>
    <row r="45" spans="1:13" x14ac:dyDescent="0.25">
      <c r="A45" s="39" t="s">
        <v>130</v>
      </c>
      <c r="B45" s="121" t="s">
        <v>92</v>
      </c>
      <c r="C45" s="121" t="s">
        <v>167</v>
      </c>
      <c r="D45" s="5">
        <v>0.14222777002716769</v>
      </c>
      <c r="E45" s="5">
        <v>0.19157410953657572</v>
      </c>
      <c r="I45" t="str">
        <v>https://www.insee.fr/fr/statistiques/serie/010534702</v>
      </c>
      <c r="J45" t="str">
        <v>010534702</v>
      </c>
      <c r="K45" t="str">
        <v>Appareils d'éclairage électrique</v>
      </c>
      <c r="L45" s="5">
        <v>2.284003421727987E-2</v>
      </c>
      <c r="M45" s="5">
        <v>2.6175763817370301E-2</v>
      </c>
    </row>
    <row r="46" spans="1:13" x14ac:dyDescent="0.25">
      <c r="A46" s="39" t="s">
        <v>131</v>
      </c>
      <c r="B46" s="121" t="s">
        <v>93</v>
      </c>
      <c r="C46" s="121" t="s">
        <v>168</v>
      </c>
      <c r="D46" s="5">
        <v>3.9309300305217842E-2</v>
      </c>
      <c r="E46" s="5">
        <v>4.3448728339315457E-2</v>
      </c>
      <c r="I46" t="str">
        <v>https://www.insee.fr/fr/statistiques/serie/001565195</v>
      </c>
      <c r="J46" t="str">
        <v>001565195</v>
      </c>
      <c r="K46" t="str">
        <v>Travail activités spécialisées</v>
      </c>
      <c r="L46" s="5">
        <v>9.1898101223057971E-3</v>
      </c>
      <c r="M46" s="5">
        <v>2.8652111026930216E-2</v>
      </c>
    </row>
    <row r="47" spans="1:13" x14ac:dyDescent="0.25">
      <c r="A47" s="39" t="s">
        <v>132</v>
      </c>
      <c r="B47" s="121" t="s">
        <v>94</v>
      </c>
      <c r="C47" s="121" t="s">
        <v>169</v>
      </c>
      <c r="D47" s="5">
        <v>7.4465029441332709E-2</v>
      </c>
      <c r="E47" s="5">
        <v>0.1190636452023035</v>
      </c>
      <c r="I47" t="str">
        <v>https://www.insee.fr/fr/statistiques/6020697</v>
      </c>
      <c r="J47" t="str">
        <v>5540998</v>
      </c>
      <c r="K47" t="str">
        <v>Travail</v>
      </c>
      <c r="L47" s="5">
        <v>6.7732321864011347E-4</v>
      </c>
      <c r="M47" s="5">
        <v>-4.5145205848661218E-3</v>
      </c>
    </row>
    <row r="48" spans="1:13" x14ac:dyDescent="0.25">
      <c r="A48" s="39" t="s">
        <v>133</v>
      </c>
      <c r="B48" s="121" t="s">
        <v>95</v>
      </c>
      <c r="C48" s="121" t="s">
        <v>170</v>
      </c>
      <c r="D48" s="5">
        <v>0.14365848328112474</v>
      </c>
      <c r="E48" s="5">
        <v>0.31835740678535474</v>
      </c>
      <c r="I48" t="str">
        <v>https://www.insee.fr/fr/statistiques/serie/010535345</v>
      </c>
      <c r="J48" t="str">
        <v>010535345</v>
      </c>
      <c r="K48" t="str">
        <v>Câbles de fibres optiques</v>
      </c>
      <c r="L48" s="5">
        <v>-8.6275762901425468E-3</v>
      </c>
      <c r="M48" s="5">
        <v>-3.235867446393792E-2</v>
      </c>
    </row>
    <row r="50" spans="1:45" x14ac:dyDescent="0.25">
      <c r="C50" s="121" t="str">
        <f>'A MODIFIER'!E13</f>
        <v xml:space="preserve">*12 mois </v>
      </c>
      <c r="D50" s="5">
        <f>('CUMULS INDICES'!B117/'CUMULS INDICES'!B132)-1</f>
        <v>5.7538750587130094E-2</v>
      </c>
      <c r="E50" s="5">
        <f>('CUMULS INDICES'!C117/'CUMULS INDICES'!C132)-1</f>
        <v>6.7732321864011347E-4</v>
      </c>
      <c r="F50" s="5">
        <f>('CUMULS INDICES'!D117/'CUMULS INDICES'!D132)-1</f>
        <v>9.1898101223057971E-3</v>
      </c>
      <c r="G50" s="5">
        <f>('CUMULS INDICES'!E117/'CUMULS INDICES'!E132)-1</f>
        <v>0.54049708682230979</v>
      </c>
      <c r="H50" s="5">
        <f>('CUMULS INDICES'!F117/'CUMULS INDICES'!F132)-1</f>
        <v>0.31137758948766736</v>
      </c>
      <c r="I50" s="5">
        <f>('CUMULS INDICES'!G117/'CUMULS INDICES'!G132)-1</f>
        <v>5.1095474172397015E-2</v>
      </c>
      <c r="J50" s="5">
        <f>('CUMULS INDICES'!H117/'CUMULS INDICES'!H132)-1</f>
        <v>3.6811682385153643E-2</v>
      </c>
      <c r="K50" s="5">
        <f>('CUMULS INDICES'!I117/'CUMULS INDICES'!I132)-1</f>
        <v>0.12702443041449341</v>
      </c>
      <c r="L50" s="5">
        <f>('CUMULS INDICES'!J117/'CUMULS INDICES'!J132)-1</f>
        <v>3.6738646961761967</v>
      </c>
      <c r="M50" s="5">
        <f>('CUMULS INDICES'!K117/'CUMULS INDICES'!K132)-1</f>
        <v>0.63544777031106636</v>
      </c>
      <c r="N50" s="5">
        <f>('CUMULS INDICES'!L117/'CUMULS INDICES'!L132)-1</f>
        <v>0.21408625504188672</v>
      </c>
      <c r="O50" s="5">
        <f>('CUMULS INDICES'!M117/'CUMULS INDICES'!M132)-1</f>
        <v>0.27967210856237501</v>
      </c>
      <c r="P50" s="5">
        <f>('CUMULS INDICES'!N117/'CUMULS INDICES'!N132)-1</f>
        <v>4.4797233574347617E-2</v>
      </c>
      <c r="Q50" s="5">
        <f>('CUMULS INDICES'!O117/'CUMULS INDICES'!O132)-1</f>
        <v>0.48807472063156676</v>
      </c>
      <c r="R50" s="5">
        <f>('CUMULS INDICES'!P117/'CUMULS INDICES'!P132)-1</f>
        <v>3.1362797786155472E-2</v>
      </c>
      <c r="S50" s="5">
        <f>('CUMULS INDICES'!Q117/'CUMULS INDICES'!Q132)-1</f>
        <v>0.23349738301695178</v>
      </c>
      <c r="T50" s="5">
        <f>('CUMULS INDICES'!R117/'CUMULS INDICES'!R132)-1</f>
        <v>0.17829705505761861</v>
      </c>
      <c r="U50" s="5">
        <f>('CUMULS INDICES'!S117/'CUMULS INDICES'!S132)-1</f>
        <v>0.32883665948126017</v>
      </c>
      <c r="V50" s="5">
        <f>('CUMULS INDICES'!T117/'CUMULS INDICES'!T132)-1</f>
        <v>0.54176953551128193</v>
      </c>
      <c r="W50" s="5">
        <f>('CUMULS INDICES'!U117/'CUMULS INDICES'!U132)-1</f>
        <v>0.44381239194690769</v>
      </c>
      <c r="X50" s="5">
        <f>('CUMULS INDICES'!V117/'CUMULS INDICES'!V132)-1</f>
        <v>9.5757857253444767E-2</v>
      </c>
      <c r="Y50" s="5">
        <f>('CUMULS INDICES'!W117/'CUMULS INDICES'!W132)-1</f>
        <v>5.9484467944481256E-2</v>
      </c>
      <c r="Z50" s="5">
        <f>('CUMULS INDICES'!X117/'CUMULS INDICES'!X132)-1</f>
        <v>0.18987993138936532</v>
      </c>
      <c r="AA50" s="5">
        <f>('CUMULS INDICES'!Y117/'CUMULS INDICES'!Y132)-1</f>
        <v>0.1580976863753214</v>
      </c>
      <c r="AB50" s="5">
        <f>('CUMULS INDICES'!Z117/'CUMULS INDICES'!Z132)-1</f>
        <v>8.7779215716847103E-2</v>
      </c>
      <c r="AC50" s="5">
        <f>('CUMULS INDICES'!AA117/'CUMULS INDICES'!AA132)-1</f>
        <v>6.6599938404681369E-2</v>
      </c>
      <c r="AD50" s="5">
        <f>('CUMULS INDICES'!AB117/'CUMULS INDICES'!AB132)-1</f>
        <v>0.35020596243803692</v>
      </c>
      <c r="AE50" s="5">
        <f>('CUMULS INDICES'!AC117/'CUMULS INDICES'!AC132)-1</f>
        <v>0.23276827720110527</v>
      </c>
      <c r="AF50" s="5">
        <f>('CUMULS INDICES'!AD117/'CUMULS INDICES'!AD132)-1</f>
        <v>8.9128697042366145E-2</v>
      </c>
      <c r="AG50" s="5">
        <f>('CUMULS INDICES'!AE117/'CUMULS INDICES'!AE132)-1</f>
        <v>0.258076952733441</v>
      </c>
      <c r="AH50" s="5">
        <f>('CUMULS INDICES'!AF117/'CUMULS INDICES'!AF132)-1</f>
        <v>7.5332113594781758E-2</v>
      </c>
      <c r="AI50" s="5">
        <f>('CUMULS INDICES'!AG117/'CUMULS INDICES'!AG132)-1</f>
        <v>7.4191252076247993E-2</v>
      </c>
      <c r="AJ50" s="5">
        <f>('CUMULS INDICES'!AH117/'CUMULS INDICES'!AH132)-1</f>
        <v>2.284003421727987E-2</v>
      </c>
      <c r="AK50" s="5">
        <f>('CUMULS INDICES'!AI117/'CUMULS INDICES'!AI132)-1</f>
        <v>-8.6275762901425468E-3</v>
      </c>
      <c r="AL50" s="5">
        <f>('CUMULS INDICES'!AJ117/'CUMULS INDICES'!AJ132)-1</f>
        <v>0.18049285872863163</v>
      </c>
      <c r="AM50" s="5">
        <f>('CUMULS INDICES'!AK117/'CUMULS INDICES'!AK132)-1</f>
        <v>0.40901270513499211</v>
      </c>
      <c r="AN50" s="5">
        <f>('CUMULS INDICES'!AL117/'CUMULS INDICES'!AL132)-1</f>
        <v>0.40604931929103505</v>
      </c>
      <c r="AO50" s="5">
        <f>('CUMULS INDICES'!AM117/'CUMULS INDICES'!AM132)-1</f>
        <v>0.14222777002716769</v>
      </c>
      <c r="AP50" s="5">
        <f>('CUMULS INDICES'!AN117/'CUMULS INDICES'!AN132)-1</f>
        <v>3.9309300305217842E-2</v>
      </c>
      <c r="AQ50" s="5">
        <f>('CUMULS INDICES'!AO117/'CUMULS INDICES'!AO132)-1</f>
        <v>7.4465029441332709E-2</v>
      </c>
      <c r="AR50" s="5">
        <f>('CUMULS INDICES'!AP117/'CUMULS INDICES'!AP132)-1</f>
        <v>0.14365848328112474</v>
      </c>
      <c r="AS50" s="121"/>
    </row>
    <row r="51" spans="1:45" x14ac:dyDescent="0.25">
      <c r="C51" s="121" t="str">
        <f>'A MODIFIER'!E14</f>
        <v>*24 mois</v>
      </c>
      <c r="D51" s="5">
        <f>('CUMULS INDICES'!B117/'CUMULS INDICES'!B147)-1</f>
        <v>7.727272727272716E-2</v>
      </c>
      <c r="E51" s="5">
        <f>('CUMULS INDICES'!C117/'CUMULS INDICES'!C147)-1</f>
        <v>-4.5145205848661218E-3</v>
      </c>
      <c r="F51" s="5">
        <f>('CUMULS INDICES'!D117/'CUMULS INDICES'!D147)-1</f>
        <v>2.8652111026930216E-2</v>
      </c>
      <c r="G51" s="5">
        <f>('CUMULS INDICES'!E117/'CUMULS INDICES'!E147)-1</f>
        <v>0.63456592783673882</v>
      </c>
      <c r="H51" s="5">
        <f>('CUMULS INDICES'!F117/'CUMULS INDICES'!F147)-1</f>
        <v>0.33600345286690358</v>
      </c>
      <c r="I51" s="5">
        <f>('CUMULS INDICES'!G117/'CUMULS INDICES'!G147)-1</f>
        <v>5.7096903900281326E-2</v>
      </c>
      <c r="J51" s="5">
        <f>('CUMULS INDICES'!H117/'CUMULS INDICES'!H147)-1</f>
        <v>3.4922563012450558E-2</v>
      </c>
      <c r="K51" s="5">
        <f>('CUMULS INDICES'!I117/'CUMULS INDICES'!I147)-1</f>
        <v>0.1640087887164221</v>
      </c>
      <c r="L51" s="5">
        <f>('CUMULS INDICES'!J117/'CUMULS INDICES'!J147)-1</f>
        <v>10.584103840682786</v>
      </c>
      <c r="M51" s="5">
        <f>('CUMULS INDICES'!K117/'CUMULS INDICES'!K147)-1</f>
        <v>0.96437576581007756</v>
      </c>
      <c r="N51" s="5">
        <f>('CUMULS INDICES'!L117/'CUMULS INDICES'!L147)-1</f>
        <v>0.30357291579911738</v>
      </c>
      <c r="O51" s="5">
        <f>('CUMULS INDICES'!M117/'CUMULS INDICES'!M147)-1</f>
        <v>0.44624367458154857</v>
      </c>
      <c r="P51" s="5">
        <f>('CUMULS INDICES'!N117/'CUMULS INDICES'!N147)-1</f>
        <v>5.8102515122572251E-2</v>
      </c>
      <c r="Q51" s="5">
        <f>('CUMULS INDICES'!O117/'CUMULS INDICES'!O147)-1</f>
        <v>1.009459459459459</v>
      </c>
      <c r="R51" s="5">
        <f>('CUMULS INDICES'!P117/'CUMULS INDICES'!P147)-1</f>
        <v>4.5110948549134555E-2</v>
      </c>
      <c r="S51" s="5">
        <f>('CUMULS INDICES'!Q117/'CUMULS INDICES'!Q147)-1</f>
        <v>0.35909795145463952</v>
      </c>
      <c r="T51" s="5">
        <f>('CUMULS INDICES'!R117/'CUMULS INDICES'!R147)-1</f>
        <v>0.1990228013029316</v>
      </c>
      <c r="U51" s="5">
        <f>('CUMULS INDICES'!S117/'CUMULS INDICES'!S147)-1</f>
        <v>0.43511565034544919</v>
      </c>
      <c r="V51" s="5">
        <f>('CUMULS INDICES'!T117/'CUMULS INDICES'!T147)-1</f>
        <v>1.0512565884959133</v>
      </c>
      <c r="W51" s="5">
        <f>('CUMULS INDICES'!U117/'CUMULS INDICES'!U147)-1</f>
        <v>0.59267917563826522</v>
      </c>
      <c r="X51" s="5">
        <f>('CUMULS INDICES'!V117/'CUMULS INDICES'!V147)-1</f>
        <v>0.13640012845215166</v>
      </c>
      <c r="Y51" s="5">
        <f>('CUMULS INDICES'!W117/'CUMULS INDICES'!W147)-1</f>
        <v>6.6001662510390746E-2</v>
      </c>
      <c r="Z51" s="5">
        <f>('CUMULS INDICES'!X117/'CUMULS INDICES'!X147)-1</f>
        <v>0.2257266542980827</v>
      </c>
      <c r="AA51" s="5">
        <f>('CUMULS INDICES'!Y117/'CUMULS INDICES'!Y147)-1</f>
        <v>0.17003489976462949</v>
      </c>
      <c r="AB51" s="5">
        <f>('CUMULS INDICES'!Z117/'CUMULS INDICES'!Z147)-1</f>
        <v>0.11981894060995191</v>
      </c>
      <c r="AC51" s="5">
        <f>('CUMULS INDICES'!AA117/'CUMULS INDICES'!AA147)-1</f>
        <v>8.8473324428380851E-2</v>
      </c>
      <c r="AD51" s="5">
        <f>('CUMULS INDICES'!AB117/'CUMULS INDICES'!AB147)-1</f>
        <v>0.73319591324610145</v>
      </c>
      <c r="AE51" s="5">
        <f>('CUMULS INDICES'!AC117/'CUMULS INDICES'!AC147)-1</f>
        <v>0.29790077836307871</v>
      </c>
      <c r="AF51" s="5">
        <f>('CUMULS INDICES'!AD117/'CUMULS INDICES'!AD147)-1</f>
        <v>0.10359630649603102</v>
      </c>
      <c r="AG51" s="5">
        <f>('CUMULS INDICES'!AE117/'CUMULS INDICES'!AE147)-1</f>
        <v>0.43273621355813119</v>
      </c>
      <c r="AH51" s="5">
        <f>('CUMULS INDICES'!AF117/'CUMULS INDICES'!AF147)-1</f>
        <v>8.8405797101449135E-2</v>
      </c>
      <c r="AI51" s="5">
        <f>('CUMULS INDICES'!AG117/'CUMULS INDICES'!AG147)-1</f>
        <v>9.9765163171106952E-2</v>
      </c>
      <c r="AJ51" s="5">
        <f>('CUMULS INDICES'!AH117/'CUMULS INDICES'!AH147)-1</f>
        <v>2.6175763817370301E-2</v>
      </c>
      <c r="AK51" s="5">
        <f>('CUMULS INDICES'!AI117/'CUMULS INDICES'!AI147)-1</f>
        <v>-3.235867446393792E-2</v>
      </c>
      <c r="AL51" s="5">
        <f>('CUMULS INDICES'!AJ117/'CUMULS INDICES'!AJ147)-1</f>
        <v>0.20565338976645742</v>
      </c>
      <c r="AM51" s="5">
        <f>('CUMULS INDICES'!AK117/'CUMULS INDICES'!AK147)-1</f>
        <v>0.66520685070775021</v>
      </c>
      <c r="AN51" s="5">
        <f>('CUMULS INDICES'!AL117/'CUMULS INDICES'!AL147)-1</f>
        <v>0.97216717708520983</v>
      </c>
      <c r="AO51" s="5">
        <f>('CUMULS INDICES'!AM117/'CUMULS INDICES'!AM147)-1</f>
        <v>0.19157410953657572</v>
      </c>
      <c r="AP51" s="5">
        <f>('CUMULS INDICES'!AN117/'CUMULS INDICES'!AN147)-1</f>
        <v>4.3448728339315457E-2</v>
      </c>
      <c r="AQ51" s="5">
        <f>('CUMULS INDICES'!AO117/'CUMULS INDICES'!AO147)-1</f>
        <v>0.1190636452023035</v>
      </c>
      <c r="AR51" s="5">
        <f>('CUMULS INDICES'!AP117/'CUMULS INDICES'!AP147)-1</f>
        <v>0.31835740678535474</v>
      </c>
      <c r="AS51" s="121"/>
    </row>
    <row r="53" spans="1:45" x14ac:dyDescent="0.25">
      <c r="A53" s="259" t="str">
        <f>"B. EVOLUTION DE JANVIER A "&amp;'A MODIFIER'!F4&amp;" (MOYEN TERME)"</f>
        <v>B. EVOLUTION DE JANVIER A SEPTEMBRE 2022 (MOYEN TERME)</v>
      </c>
      <c r="B53" s="259"/>
      <c r="C53" s="259"/>
    </row>
    <row r="54" spans="1:45" x14ac:dyDescent="0.25">
      <c r="A54" s="3"/>
    </row>
    <row r="55" spans="1:45" s="121" customFormat="1" x14ac:dyDescent="0.25">
      <c r="A55" s="3"/>
      <c r="B55" s="252" t="s">
        <v>208</v>
      </c>
      <c r="C55" s="252"/>
      <c r="D55" s="252"/>
      <c r="E55" s="252"/>
      <c r="J55" s="252" t="s">
        <v>209</v>
      </c>
      <c r="K55" s="252"/>
      <c r="L55" s="252"/>
      <c r="M55" s="252"/>
    </row>
    <row r="56" spans="1:45" x14ac:dyDescent="0.25">
      <c r="A56" s="3"/>
      <c r="D56" s="5" t="str" cm="1">
        <f t="array" ref="D56:D97">TRANSPOSE(C100:AR100)</f>
        <v>*/2021</v>
      </c>
      <c r="E56" s="5" t="str" cm="1">
        <f t="array" ref="E56:E97">TRANSPOSE(C101:AR101)</f>
        <v>*/2020</v>
      </c>
      <c r="L56" s="121" t="str">
        <f>'A MODIFIER'!E12</f>
        <v>*/2021</v>
      </c>
      <c r="M56" t="str">
        <f>'A MODIFIER'!E11</f>
        <v>*/2020</v>
      </c>
    </row>
    <row r="57" spans="1:45" x14ac:dyDescent="0.25">
      <c r="A57" s="39" t="s">
        <v>96</v>
      </c>
      <c r="B57" s="121" t="s">
        <v>56</v>
      </c>
      <c r="C57" s="181" t="s">
        <v>134</v>
      </c>
      <c r="D57" s="5">
        <v>6.106791083462948E-2</v>
      </c>
      <c r="E57" s="5">
        <v>9.0231170768083624E-2</v>
      </c>
      <c r="I57" t="str" cm="1">
        <f t="array" ref="I57:M97">_xlfn._xlws.SORT(A57:E97,4,-1,FALSE)</f>
        <v>https://www.insee.fr/fr/statistiques/serie/010534776</v>
      </c>
      <c r="J57" t="str">
        <v>010534776</v>
      </c>
      <c r="K57" t="str">
        <v>Gaz naturel</v>
      </c>
      <c r="L57" s="5">
        <v>3.41726075652101</v>
      </c>
      <c r="M57" s="5">
        <v>13.907161052929522</v>
      </c>
    </row>
    <row r="58" spans="1:45" x14ac:dyDescent="0.25">
      <c r="A58" s="39" t="s">
        <v>97</v>
      </c>
      <c r="B58" s="121" t="s">
        <v>57</v>
      </c>
      <c r="C58" s="121" t="s">
        <v>135</v>
      </c>
      <c r="D58" s="5">
        <v>3.5262206148283237E-3</v>
      </c>
      <c r="E58" s="5">
        <v>-2.785265049415897E-3</v>
      </c>
      <c r="I58" t="str">
        <v>https://www.fntp.fr/sites/default/files/content/indice_gazole_htt.pdf</v>
      </c>
      <c r="J58" t="str">
        <v>Gazole routier HTT</v>
      </c>
      <c r="K58" t="str">
        <v>Gazole routier HTT</v>
      </c>
      <c r="L58" s="5">
        <v>0.67861438811862906</v>
      </c>
      <c r="M58" s="5">
        <v>1.2356522298301886</v>
      </c>
    </row>
    <row r="59" spans="1:45" x14ac:dyDescent="0.25">
      <c r="A59" s="39" t="s">
        <v>98</v>
      </c>
      <c r="B59" s="121" t="s">
        <v>58</v>
      </c>
      <c r="C59" s="121" t="s">
        <v>136</v>
      </c>
      <c r="D59" s="5">
        <v>1.2337896253602043E-2</v>
      </c>
      <c r="E59" s="5">
        <v>2.9584172925444241E-2</v>
      </c>
      <c r="I59" t="str">
        <v>https://www.insee.fr/fr/statistiques/serie/010758171#Tableau</v>
      </c>
      <c r="J59" t="str">
        <v>010758171</v>
      </c>
      <c r="K59" t="str">
        <v>GNR</v>
      </c>
      <c r="L59" s="5">
        <v>0.56175489439496218</v>
      </c>
      <c r="M59" s="5">
        <v>0.83458129028007733</v>
      </c>
    </row>
    <row r="60" spans="1:45" x14ac:dyDescent="0.25">
      <c r="A60" s="37" t="s">
        <v>279</v>
      </c>
      <c r="B60" s="94" t="s">
        <v>280</v>
      </c>
      <c r="C60" s="121" t="s">
        <v>137</v>
      </c>
      <c r="D60" s="5">
        <v>0.56175489439496218</v>
      </c>
      <c r="E60" s="5">
        <v>0.83458129028007733</v>
      </c>
      <c r="I60" t="str">
        <v>https://www.insee.fr/fr/statistiques/serie/010536462</v>
      </c>
      <c r="J60" t="str">
        <v>010536462</v>
      </c>
      <c r="K60" t="str">
        <v>Acier pour la construction</v>
      </c>
      <c r="L60" s="5">
        <v>0.49281822684497301</v>
      </c>
      <c r="M60" s="5">
        <v>1.153736218864843</v>
      </c>
    </row>
    <row r="61" spans="1:45" x14ac:dyDescent="0.25">
      <c r="A61" s="39" t="s">
        <v>99</v>
      </c>
      <c r="B61" s="121" t="s">
        <v>59</v>
      </c>
      <c r="C61" s="121" t="s">
        <v>138</v>
      </c>
      <c r="D61" s="5">
        <v>0.32894112833483691</v>
      </c>
      <c r="E61" s="5">
        <v>0.44251655361757103</v>
      </c>
      <c r="I61" t="str">
        <v>https://www.insee.fr/fr/statistiques/serie/010534598</v>
      </c>
      <c r="J61" t="str">
        <v>010534598</v>
      </c>
      <c r="K61" t="str">
        <v>Bitume</v>
      </c>
      <c r="L61" s="5">
        <v>0.44992186390112221</v>
      </c>
      <c r="M61" s="5">
        <v>0.67311475409836063</v>
      </c>
    </row>
    <row r="62" spans="1:45" x14ac:dyDescent="0.25">
      <c r="A62" s="39" t="s">
        <v>100</v>
      </c>
      <c r="B62" s="121" t="s">
        <v>60</v>
      </c>
      <c r="C62" s="121" t="s">
        <v>139</v>
      </c>
      <c r="D62" s="5">
        <v>5.7224758466928316E-2</v>
      </c>
      <c r="E62" s="5">
        <v>6.7882037533511852E-2</v>
      </c>
      <c r="I62" t="str">
        <v>https://www.insee.fr/fr/statistiques/serie/010546545</v>
      </c>
      <c r="J62" t="str">
        <v>010546545</v>
      </c>
      <c r="K62" t="str">
        <v>Barres crénelées ou nervurées pour béton armé</v>
      </c>
      <c r="L62" s="5">
        <v>0.43733296786130316</v>
      </c>
      <c r="M62" s="5">
        <v>1.1071930882057464</v>
      </c>
    </row>
    <row r="63" spans="1:45" x14ac:dyDescent="0.25">
      <c r="A63" s="39" t="s">
        <v>101</v>
      </c>
      <c r="B63" s="121" t="s">
        <v>61</v>
      </c>
      <c r="C63" s="121" t="s">
        <v>140</v>
      </c>
      <c r="D63" s="5">
        <v>4.2897612302711607E-2</v>
      </c>
      <c r="E63" s="5">
        <v>4.4906234161176117E-2</v>
      </c>
      <c r="I63" t="str">
        <v>https://www.insee.fr/fr/statistiques/serie/010534267</v>
      </c>
      <c r="J63" t="str">
        <v>010534267</v>
      </c>
      <c r="K63" t="str">
        <v>Produits sidérurgiques en acier non allié</v>
      </c>
      <c r="L63" s="5">
        <v>0.40667449270501455</v>
      </c>
      <c r="M63" s="5">
        <v>0.75996642887117116</v>
      </c>
    </row>
    <row r="64" spans="1:45" x14ac:dyDescent="0.25">
      <c r="A64" s="39" t="s">
        <v>102</v>
      </c>
      <c r="B64" s="121" t="s">
        <v>62</v>
      </c>
      <c r="C64" s="121" t="s">
        <v>141</v>
      </c>
      <c r="D64" s="5">
        <v>0.14841341795104257</v>
      </c>
      <c r="E64" s="5">
        <v>0.19635436343029844</v>
      </c>
      <c r="I64" t="str">
        <v>https://www.insee.fr/fr/statistiques/serie/010534613</v>
      </c>
      <c r="J64" t="str">
        <v>010534613</v>
      </c>
      <c r="K64" t="str">
        <v>Autres produits explosifs</v>
      </c>
      <c r="L64" s="5">
        <v>0.36238990284209627</v>
      </c>
      <c r="M64" s="5">
        <v>0.49695699890252465</v>
      </c>
    </row>
    <row r="65" spans="1:13" x14ac:dyDescent="0.25">
      <c r="A65" s="223" t="s">
        <v>297</v>
      </c>
      <c r="B65" s="235" t="s">
        <v>296</v>
      </c>
      <c r="C65" s="235" t="s">
        <v>294</v>
      </c>
      <c r="D65" s="5">
        <v>3.41726075652101</v>
      </c>
      <c r="E65" s="5">
        <v>13.907161052929522</v>
      </c>
      <c r="I65" t="str">
        <v>https://www.insee.fr/fr/statistiques/serie/001764283</v>
      </c>
      <c r="J65" t="str">
        <v>001764283</v>
      </c>
      <c r="K65" t="str">
        <v>Gazole</v>
      </c>
      <c r="L65" s="5">
        <v>0.32894112833483691</v>
      </c>
      <c r="M65" s="5">
        <v>0.44251655361757103</v>
      </c>
    </row>
    <row r="66" spans="1:13" x14ac:dyDescent="0.25">
      <c r="A66" s="39" t="s">
        <v>104</v>
      </c>
      <c r="B66" s="121" t="s">
        <v>64</v>
      </c>
      <c r="C66" s="121" t="s">
        <v>64</v>
      </c>
      <c r="D66" s="5">
        <v>0.67861438811862906</v>
      </c>
      <c r="E66" s="5">
        <v>1.2356522298301886</v>
      </c>
      <c r="I66" t="str">
        <v>https://www.insee.fr/fr/statistiques/serie/010534606</v>
      </c>
      <c r="J66" t="str">
        <v>010534606</v>
      </c>
      <c r="K66" t="str">
        <v>Matières plastiques sous formes primaires</v>
      </c>
      <c r="L66" s="5">
        <v>0.30385684503127175</v>
      </c>
      <c r="M66" s="5">
        <v>0.82959531935641162</v>
      </c>
    </row>
    <row r="67" spans="1:13" x14ac:dyDescent="0.25">
      <c r="A67" s="39" t="s">
        <v>105</v>
      </c>
      <c r="B67" s="121" t="s">
        <v>65</v>
      </c>
      <c r="C67" s="121" t="s">
        <v>142</v>
      </c>
      <c r="D67" s="5">
        <v>0.19917554795897852</v>
      </c>
      <c r="E67" s="5">
        <v>0.32536948549838884</v>
      </c>
      <c r="I67" t="str">
        <v>https://www.insee.fr/fr/statistiques/serie/010536480</v>
      </c>
      <c r="J67" t="str">
        <v>010536480</v>
      </c>
      <c r="K67" t="str">
        <v>Tôles quarto et autres produits plats en aciers non alliés de qualité</v>
      </c>
      <c r="L67" s="5">
        <v>0.28805031446540896</v>
      </c>
      <c r="M67" s="5">
        <v>0.98017887357988864</v>
      </c>
    </row>
    <row r="68" spans="1:13" x14ac:dyDescent="0.25">
      <c r="A68" s="39" t="s">
        <v>106</v>
      </c>
      <c r="B68" s="121" t="s">
        <v>66</v>
      </c>
      <c r="C68" s="121" t="s">
        <v>143</v>
      </c>
      <c r="D68" s="5">
        <v>0.26293333333333324</v>
      </c>
      <c r="E68" s="5">
        <v>0.47830610758505898</v>
      </c>
      <c r="I68" t="str">
        <v>https://www.insee.fr/fr/statistiques/serie/010534654</v>
      </c>
      <c r="J68" t="str">
        <v>010534654</v>
      </c>
      <c r="K68" t="str">
        <v>Tubes, tuyaux, profilés creux et accessoires correspondants en acier</v>
      </c>
      <c r="L68" s="5">
        <v>0.26648324653630762</v>
      </c>
      <c r="M68" s="5">
        <v>0.36189771766694845</v>
      </c>
    </row>
    <row r="69" spans="1:13" x14ac:dyDescent="0.25">
      <c r="A69" s="39" t="s">
        <v>107</v>
      </c>
      <c r="B69" s="121" t="s">
        <v>67</v>
      </c>
      <c r="C69" s="121" t="s">
        <v>144</v>
      </c>
      <c r="D69" s="5">
        <v>5.5102467586783721E-2</v>
      </c>
      <c r="E69" s="5">
        <v>7.0776740237691094E-2</v>
      </c>
      <c r="I69" t="str">
        <v>https://www.insee.fr/fr/statistiques/serie/010534575</v>
      </c>
      <c r="J69" t="str">
        <v>010534575</v>
      </c>
      <c r="K69" t="str">
        <v>Ensemble des produits du sciage</v>
      </c>
      <c r="L69" s="5">
        <v>0.26293333333333324</v>
      </c>
      <c r="M69" s="5">
        <v>0.47830610758505898</v>
      </c>
    </row>
    <row r="70" spans="1:13" x14ac:dyDescent="0.25">
      <c r="A70" s="39" t="s">
        <v>108</v>
      </c>
      <c r="B70" s="121" t="s">
        <v>68</v>
      </c>
      <c r="C70" s="121" t="s">
        <v>145</v>
      </c>
      <c r="D70" s="5">
        <v>0.43733296786130316</v>
      </c>
      <c r="E70" s="5">
        <v>1.1071930882057464</v>
      </c>
      <c r="I70" t="str">
        <v>https://www.insee.fr/fr/statistiques/serie/010534330</v>
      </c>
      <c r="J70" t="str">
        <v>010534330</v>
      </c>
      <c r="K70" t="str">
        <v>Fils et câbles d'énergie</v>
      </c>
      <c r="L70" s="5">
        <v>0.24473788721207312</v>
      </c>
      <c r="M70" s="5">
        <v>0.46374781085814387</v>
      </c>
    </row>
    <row r="71" spans="1:13" x14ac:dyDescent="0.25">
      <c r="A71" s="39" t="s">
        <v>109</v>
      </c>
      <c r="B71" s="121" t="s">
        <v>69</v>
      </c>
      <c r="C71" s="121" t="s">
        <v>146</v>
      </c>
      <c r="D71" s="5">
        <v>3.8867000319454892E-2</v>
      </c>
      <c r="E71" s="5">
        <v>5.1973258572352687E-2</v>
      </c>
      <c r="I71" t="str">
        <v>https://www.insee.fr/fr/statistiques/serie/010534642</v>
      </c>
      <c r="J71" t="str">
        <v>010534642</v>
      </c>
      <c r="K71" t="str">
        <v>Ciment, chaux et plâtre</v>
      </c>
      <c r="L71" s="5">
        <v>0.22091295116772813</v>
      </c>
      <c r="M71" s="5">
        <v>0.24591051890369386</v>
      </c>
    </row>
    <row r="72" spans="1:13" x14ac:dyDescent="0.25">
      <c r="A72" s="39" t="s">
        <v>110</v>
      </c>
      <c r="B72" s="121" t="s">
        <v>70</v>
      </c>
      <c r="C72" s="121" t="s">
        <v>147</v>
      </c>
      <c r="D72" s="5">
        <v>0.21830985915492973</v>
      </c>
      <c r="E72" s="5">
        <v>0.39935290039288196</v>
      </c>
      <c r="I72" t="str">
        <v>https://www.insee.fr/fr/statistiques/serie/010534625</v>
      </c>
      <c r="J72" t="str">
        <v>010534625</v>
      </c>
      <c r="K72" t="str">
        <v>Plaques, feuilles, tubes et profilés en matières plastiques</v>
      </c>
      <c r="L72" s="5">
        <v>0.21830985915492973</v>
      </c>
      <c r="M72" s="5">
        <v>0.39935290039288196</v>
      </c>
    </row>
    <row r="73" spans="1:13" x14ac:dyDescent="0.25">
      <c r="A73" s="39" t="s">
        <v>111</v>
      </c>
      <c r="B73" s="121" t="s">
        <v>71</v>
      </c>
      <c r="C73" s="121" t="s">
        <v>148</v>
      </c>
      <c r="D73" s="5">
        <v>0.22091295116772813</v>
      </c>
      <c r="E73" s="5">
        <v>0.24591051890369386</v>
      </c>
      <c r="I73" t="str">
        <v>https://www.insee.fr/fr/statistiques/serie/010534662</v>
      </c>
      <c r="J73" t="str">
        <v>010534662</v>
      </c>
      <c r="K73" t="str">
        <v>Travaux de fonderie de fonte</v>
      </c>
      <c r="L73" s="5">
        <v>0.20940219233811708</v>
      </c>
      <c r="M73" s="5">
        <v>0.26381672177609783</v>
      </c>
    </row>
    <row r="74" spans="1:13" x14ac:dyDescent="0.25">
      <c r="A74" s="39" t="s">
        <v>285</v>
      </c>
      <c r="B74" s="94" t="s">
        <v>284</v>
      </c>
      <c r="C74" s="121" t="s">
        <v>287</v>
      </c>
      <c r="D74" s="5">
        <v>0.36238990284209627</v>
      </c>
      <c r="E74" s="5">
        <v>0.49695699890252465</v>
      </c>
      <c r="I74" t="str">
        <v>https://www.insee.fr/fr/statistiques/serie/010534180</v>
      </c>
      <c r="J74" t="str">
        <v>010534180</v>
      </c>
      <c r="K74" t="str">
        <v>Peintures Industries</v>
      </c>
      <c r="L74" s="5">
        <v>0.20875984251968482</v>
      </c>
      <c r="M74" s="5">
        <v>0.23290834253588977</v>
      </c>
    </row>
    <row r="75" spans="1:13" x14ac:dyDescent="0.25">
      <c r="A75" s="39" t="s">
        <v>112</v>
      </c>
      <c r="B75" s="121" t="s">
        <v>73</v>
      </c>
      <c r="C75" s="121" t="s">
        <v>149</v>
      </c>
      <c r="D75" s="5">
        <v>0.49281822684497301</v>
      </c>
      <c r="E75" s="5">
        <v>1.153736218864843</v>
      </c>
      <c r="I75" t="str">
        <v>https://www.insee.fr/fr/statistiques/serie/010534638</v>
      </c>
      <c r="J75" t="str">
        <v>010534638</v>
      </c>
      <c r="K75" t="str">
        <v>Tuiles, briques et produits de construction en terre cuite</v>
      </c>
      <c r="L75" s="5">
        <v>0.20170848905499206</v>
      </c>
      <c r="M75" s="5">
        <v>0.2108887454271573</v>
      </c>
    </row>
    <row r="76" spans="1:13" x14ac:dyDescent="0.25">
      <c r="A76" s="39" t="s">
        <v>113</v>
      </c>
      <c r="B76" s="121" t="s">
        <v>74</v>
      </c>
      <c r="C76" s="121" t="s">
        <v>150</v>
      </c>
      <c r="D76" s="5">
        <v>0.44992186390112221</v>
      </c>
      <c r="E76" s="5">
        <v>0.67311475409836063</v>
      </c>
      <c r="I76" t="str">
        <v>https://www.insee.fr/fr/statistiques/serie/010534207</v>
      </c>
      <c r="J76" t="str">
        <v>010534207</v>
      </c>
      <c r="K76" t="str">
        <v>Tubes, tuyaux en matière plastique</v>
      </c>
      <c r="L76" s="5">
        <v>0.19917554795897852</v>
      </c>
      <c r="M76" s="5">
        <v>0.32536948549838884</v>
      </c>
    </row>
    <row r="77" spans="1:13" x14ac:dyDescent="0.25">
      <c r="A77" s="39" t="s">
        <v>114</v>
      </c>
      <c r="B77" s="121" t="s">
        <v>75</v>
      </c>
      <c r="C77" s="121" t="s">
        <v>151</v>
      </c>
      <c r="D77" s="5">
        <v>0.10338826901422848</v>
      </c>
      <c r="E77" s="5">
        <v>0.14511845320301697</v>
      </c>
      <c r="I77" t="str">
        <v>https://www.insee.fr/fr/statistiques/serie/010534667</v>
      </c>
      <c r="J77" t="str">
        <v>010534667</v>
      </c>
      <c r="K77" t="str">
        <v>Éléments en métal pour la construction</v>
      </c>
      <c r="L77" s="5">
        <v>0.14867873390765673</v>
      </c>
      <c r="M77" s="5">
        <v>0.20845213849287192</v>
      </c>
    </row>
    <row r="78" spans="1:13" x14ac:dyDescent="0.25">
      <c r="A78" s="39" t="s">
        <v>115</v>
      </c>
      <c r="B78" s="121" t="s">
        <v>76</v>
      </c>
      <c r="C78" s="121" t="s">
        <v>152</v>
      </c>
      <c r="D78" s="5">
        <v>6.8490153172866552E-2</v>
      </c>
      <c r="E78" s="5">
        <v>7.6973974415527113E-2</v>
      </c>
      <c r="I78" t="str">
        <v>https://www.insee.fr/fr/statistiques/serie/010534769</v>
      </c>
      <c r="J78" t="str">
        <v>010534769</v>
      </c>
      <c r="K78" t="str">
        <v>Électricité vendue aux entreprises consommatrices finales</v>
      </c>
      <c r="L78" s="5">
        <v>0.14841341795104257</v>
      </c>
      <c r="M78" s="5">
        <v>0.19635436343029844</v>
      </c>
    </row>
    <row r="79" spans="1:13" x14ac:dyDescent="0.25">
      <c r="A79" s="39" t="s">
        <v>116</v>
      </c>
      <c r="B79" s="121" t="s">
        <v>77</v>
      </c>
      <c r="C79" s="121" t="s">
        <v>153</v>
      </c>
      <c r="D79" s="5">
        <v>0.20940219233811708</v>
      </c>
      <c r="E79" s="5">
        <v>0.26381672177609783</v>
      </c>
      <c r="I79" t="str">
        <v>https://www.insee.fr/fr/statistiques/serie/010534784</v>
      </c>
      <c r="J79" t="str">
        <v>010534784</v>
      </c>
      <c r="K79" t="str">
        <v>Collecte, traitement et élimination des déchets ; récupération de matériaux</v>
      </c>
      <c r="L79" s="5">
        <v>0.13794713738675646</v>
      </c>
      <c r="M79" s="5">
        <v>0.359063022866704</v>
      </c>
    </row>
    <row r="80" spans="1:13" x14ac:dyDescent="0.25">
      <c r="A80" s="39" t="s">
        <v>117</v>
      </c>
      <c r="B80" s="121" t="s">
        <v>78</v>
      </c>
      <c r="C80" s="121" t="s">
        <v>154</v>
      </c>
      <c r="D80" s="5">
        <v>0.20170848905499206</v>
      </c>
      <c r="E80" s="5">
        <v>0.2108887454271573</v>
      </c>
      <c r="I80" t="str">
        <v>https://www.insee.fr/fr/statistiques/serie/010534645</v>
      </c>
      <c r="J80" t="str">
        <v>010534645</v>
      </c>
      <c r="K80" t="str">
        <v>Éléments en béton pour la construction</v>
      </c>
      <c r="L80" s="5">
        <v>0.1052910613932776</v>
      </c>
      <c r="M80" s="5">
        <v>0.1206192216727584</v>
      </c>
    </row>
    <row r="81" spans="1:13" x14ac:dyDescent="0.25">
      <c r="A81" s="39" t="s">
        <v>299</v>
      </c>
      <c r="B81" s="228" t="s">
        <v>300</v>
      </c>
      <c r="C81" s="225" t="s">
        <v>298</v>
      </c>
      <c r="D81" s="5">
        <v>8.5368863380137272E-2</v>
      </c>
      <c r="E81" s="5">
        <v>0.14091187244128411</v>
      </c>
      <c r="I81" t="str">
        <v>https://www.insee.fr/fr/statistiques/serie/010534252</v>
      </c>
      <c r="J81" t="str">
        <v>010534252</v>
      </c>
      <c r="K81" t="str">
        <v>Produits de voierie en béton</v>
      </c>
      <c r="L81" s="5">
        <v>0.10338826901422848</v>
      </c>
      <c r="M81" s="5">
        <v>0.14511845320301697</v>
      </c>
    </row>
    <row r="82" spans="1:13" x14ac:dyDescent="0.25">
      <c r="A82" s="39" t="s">
        <v>289</v>
      </c>
      <c r="B82" s="94" t="s">
        <v>290</v>
      </c>
      <c r="C82" s="121" t="s">
        <v>291</v>
      </c>
      <c r="D82" s="5">
        <v>7.4293900941465374E-2</v>
      </c>
      <c r="E82" s="5">
        <v>9.880678249947672E-2</v>
      </c>
      <c r="I82" t="str">
        <v>https://www.insee.fr/fr/statistiques/serie/010534696</v>
      </c>
      <c r="J82" t="str">
        <v>010534696</v>
      </c>
      <c r="K82" t="str">
        <v>Moteurs, génératrices, transfo. électr., matér. distrib., cmde électr.</v>
      </c>
      <c r="L82" s="5">
        <v>8.8900634249471366E-2</v>
      </c>
      <c r="M82" s="5">
        <v>0.1045464293373366</v>
      </c>
    </row>
    <row r="83" spans="1:13" x14ac:dyDescent="0.25">
      <c r="A83" s="39" t="s">
        <v>119</v>
      </c>
      <c r="B83" s="121" t="s">
        <v>81</v>
      </c>
      <c r="C83" s="121" t="s">
        <v>156</v>
      </c>
      <c r="D83" s="5">
        <v>0.30385684503127175</v>
      </c>
      <c r="E83" s="5">
        <v>0.82959531935641162</v>
      </c>
      <c r="I83" t="str">
        <v>https://www.insee.fr/fr/statistiques/serie/010534698</v>
      </c>
      <c r="J83" t="str">
        <v>010534698</v>
      </c>
      <c r="K83" t="str">
        <v>Matériel de distribution et de commande électrique</v>
      </c>
      <c r="L83" s="5">
        <v>8.7262417305471018E-2</v>
      </c>
      <c r="M83" s="5">
        <v>0.11369258900720691</v>
      </c>
    </row>
    <row r="84" spans="1:13" x14ac:dyDescent="0.25">
      <c r="A84" s="39" t="s">
        <v>120</v>
      </c>
      <c r="B84" s="121" t="s">
        <v>82</v>
      </c>
      <c r="C84" s="121" t="s">
        <v>157</v>
      </c>
      <c r="D84" s="5">
        <v>0.26648324653630762</v>
      </c>
      <c r="E84" s="5">
        <v>0.36189771766694845</v>
      </c>
      <c r="I84" t="str">
        <v>https://www.insee.fr/fr/statistiques/serie/010760506</v>
      </c>
      <c r="J84" t="str">
        <v>010760506</v>
      </c>
      <c r="K84" t="str">
        <v>Réseaux d’assainissement</v>
      </c>
      <c r="L84" s="5">
        <v>8.5368863380137272E-2</v>
      </c>
      <c r="M84" s="5">
        <v>0.14091187244128411</v>
      </c>
    </row>
    <row r="85" spans="1:13" x14ac:dyDescent="0.25">
      <c r="A85" s="39" t="s">
        <v>121</v>
      </c>
      <c r="B85" s="121" t="s">
        <v>83</v>
      </c>
      <c r="C85" s="121" t="s">
        <v>158</v>
      </c>
      <c r="D85" s="5">
        <v>0.1052910613932776</v>
      </c>
      <c r="E85" s="5">
        <v>0.1206192216727584</v>
      </c>
      <c r="I85" t="str">
        <v>https://www.insee.fr/fr/statistiques/serie/010534789</v>
      </c>
      <c r="J85" t="str">
        <v>010534789</v>
      </c>
      <c r="K85" t="str">
        <v>Traitement et élimination des déchets non dangereux</v>
      </c>
      <c r="L85" s="5">
        <v>7.5806147463699958E-2</v>
      </c>
      <c r="M85" s="5">
        <v>0.12992671816201229</v>
      </c>
    </row>
    <row r="86" spans="1:13" x14ac:dyDescent="0.25">
      <c r="A86" s="39" t="s">
        <v>122</v>
      </c>
      <c r="B86" s="121" t="s">
        <v>84</v>
      </c>
      <c r="C86" s="121" t="s">
        <v>159</v>
      </c>
      <c r="D86" s="5">
        <v>0.24473788721207312</v>
      </c>
      <c r="E86" s="5">
        <v>0.46374781085814387</v>
      </c>
      <c r="I86" t="str">
        <v>https://www.insee.fr/fr/statistiques/serie/010534554</v>
      </c>
      <c r="J86" t="str">
        <v>010534554</v>
      </c>
      <c r="K86" t="str">
        <v>Autres textiles</v>
      </c>
      <c r="L86" s="5">
        <v>7.4293900941465374E-2</v>
      </c>
      <c r="M86" s="5">
        <v>9.880678249947672E-2</v>
      </c>
    </row>
    <row r="87" spans="1:13" x14ac:dyDescent="0.25">
      <c r="A87" s="39" t="s">
        <v>123</v>
      </c>
      <c r="B87" s="121" t="s">
        <v>85</v>
      </c>
      <c r="C87" s="121" t="s">
        <v>160</v>
      </c>
      <c r="D87" s="5">
        <v>8.8900634249471366E-2</v>
      </c>
      <c r="E87" s="5">
        <v>0.1045464293373366</v>
      </c>
      <c r="I87" t="str">
        <v>https://www.insee.fr/fr/statistiques/serie/010534647</v>
      </c>
      <c r="J87" t="str">
        <v>010534647</v>
      </c>
      <c r="K87" t="str">
        <v>Mortiers et bétons secs</v>
      </c>
      <c r="L87" s="5">
        <v>6.8490153172866552E-2</v>
      </c>
      <c r="M87" s="5">
        <v>7.6973974415527113E-2</v>
      </c>
    </row>
    <row r="88" spans="1:13" x14ac:dyDescent="0.25">
      <c r="A88" s="39" t="s">
        <v>124</v>
      </c>
      <c r="B88" s="121" t="s">
        <v>86</v>
      </c>
      <c r="C88" s="121" t="s">
        <v>161</v>
      </c>
      <c r="D88" s="5">
        <v>8.7262417305471018E-2</v>
      </c>
      <c r="E88" s="5">
        <v>0.11369258900720691</v>
      </c>
      <c r="I88" t="str">
        <v>https://www.insee.fr/fr/statistiques/serie/001711009</v>
      </c>
      <c r="J88" t="str">
        <v>001711009</v>
      </c>
      <c r="K88" t="str">
        <v>Matériel</v>
      </c>
      <c r="L88" s="5">
        <v>6.106791083462948E-2</v>
      </c>
      <c r="M88" s="5">
        <v>9.0231170768083624E-2</v>
      </c>
    </row>
    <row r="89" spans="1:13" x14ac:dyDescent="0.25">
      <c r="A89" s="39" t="s">
        <v>125</v>
      </c>
      <c r="B89" s="121" t="s">
        <v>87</v>
      </c>
      <c r="C89" s="121" t="s">
        <v>162</v>
      </c>
      <c r="D89" s="5">
        <v>3.5718374356038751E-2</v>
      </c>
      <c r="E89" s="5">
        <v>3.3116364051615665E-2</v>
      </c>
      <c r="I89" t="str">
        <v>https://www.insee.fr/fr/statistiques/serie/001711011</v>
      </c>
      <c r="J89" t="str">
        <v>001711011</v>
      </c>
      <c r="K89" t="str">
        <v>Frais divers</v>
      </c>
      <c r="L89" s="5">
        <v>5.7224758466928316E-2</v>
      </c>
      <c r="M89" s="5">
        <v>6.7882037533511852E-2</v>
      </c>
    </row>
    <row r="90" spans="1:13" x14ac:dyDescent="0.25">
      <c r="A90" s="39" t="s">
        <v>126</v>
      </c>
      <c r="B90" s="121" t="s">
        <v>88</v>
      </c>
      <c r="C90" s="121" t="s">
        <v>163</v>
      </c>
      <c r="D90" s="5">
        <v>-1.0704345964461792E-3</v>
      </c>
      <c r="E90" s="5">
        <v>-2.7916666666666701E-2</v>
      </c>
      <c r="I90" t="str">
        <v>https://www.insee.fr/fr/statistiques/serie/010534646</v>
      </c>
      <c r="J90" t="str">
        <v>010534646</v>
      </c>
      <c r="K90" t="str">
        <v>Béton prêt à l'emploi</v>
      </c>
      <c r="L90" s="5">
        <v>5.5102467586783721E-2</v>
      </c>
      <c r="M90" s="5">
        <v>7.0776740237691094E-2</v>
      </c>
    </row>
    <row r="91" spans="1:13" x14ac:dyDescent="0.25">
      <c r="A91" s="39" t="s">
        <v>127</v>
      </c>
      <c r="B91" s="121" t="s">
        <v>89</v>
      </c>
      <c r="C91" s="121" t="s">
        <v>164</v>
      </c>
      <c r="D91" s="5">
        <v>0.20875984251968482</v>
      </c>
      <c r="E91" s="5">
        <v>0.23290834253588977</v>
      </c>
      <c r="I91" t="str">
        <v>https://www.insee.fr/fr/statistiques/serie/001763781</v>
      </c>
      <c r="J91" t="str">
        <v>001763781</v>
      </c>
      <c r="K91" t="str">
        <v>Restaurants et hôtels</v>
      </c>
      <c r="L91" s="5">
        <v>4.531817625209178E-2</v>
      </c>
      <c r="M91" s="5">
        <v>4.9849856005247162E-2</v>
      </c>
    </row>
    <row r="92" spans="1:13" x14ac:dyDescent="0.25">
      <c r="A92" s="39" t="s">
        <v>128</v>
      </c>
      <c r="B92" s="121" t="s">
        <v>90</v>
      </c>
      <c r="C92" s="121" t="s">
        <v>165</v>
      </c>
      <c r="D92" s="5">
        <v>0.40667449270501455</v>
      </c>
      <c r="E92" s="5">
        <v>0.75996642887117116</v>
      </c>
      <c r="I92" t="str">
        <v>https://www.insee.fr/fr/statistiques/serie/001711943</v>
      </c>
      <c r="J92" t="str">
        <v>001711943</v>
      </c>
      <c r="K92" t="str">
        <v>Transports routiers</v>
      </c>
      <c r="L92" s="5">
        <v>4.2897612302711607E-2</v>
      </c>
      <c r="M92" s="5">
        <v>4.4906234161176117E-2</v>
      </c>
    </row>
    <row r="93" spans="1:13" x14ac:dyDescent="0.25">
      <c r="A93" s="39" t="s">
        <v>129</v>
      </c>
      <c r="B93" s="121" t="s">
        <v>91</v>
      </c>
      <c r="C93" s="121" t="s">
        <v>166</v>
      </c>
      <c r="D93" s="5">
        <v>0.28805031446540896</v>
      </c>
      <c r="E93" s="5">
        <v>0.98017887357988864</v>
      </c>
      <c r="I93" t="str">
        <v>https://www.insee.fr/fr/statistiques/serie/010536067</v>
      </c>
      <c r="J93" t="str">
        <v>010536067</v>
      </c>
      <c r="K93" t="str">
        <v>Sables et granulats</v>
      </c>
      <c r="L93" s="5">
        <v>3.8867000319454892E-2</v>
      </c>
      <c r="M93" s="5">
        <v>5.1973258572352687E-2</v>
      </c>
    </row>
    <row r="94" spans="1:13" x14ac:dyDescent="0.25">
      <c r="A94" s="39" t="s">
        <v>130</v>
      </c>
      <c r="B94" s="121" t="s">
        <v>92</v>
      </c>
      <c r="C94" s="121" t="s">
        <v>167</v>
      </c>
      <c r="D94" s="5">
        <v>0.14867873390765673</v>
      </c>
      <c r="E94" s="5">
        <v>0.20845213849287192</v>
      </c>
      <c r="I94" t="str">
        <v>https://www.insee.fr/fr/statistiques/serie/010534702</v>
      </c>
      <c r="J94" t="str">
        <v>010534702</v>
      </c>
      <c r="K94" t="str">
        <v>Appareils d'éclairage électrique</v>
      </c>
      <c r="L94" s="5">
        <v>3.5718374356038751E-2</v>
      </c>
      <c r="M94" s="5">
        <v>3.3116364051615665E-2</v>
      </c>
    </row>
    <row r="95" spans="1:13" x14ac:dyDescent="0.25">
      <c r="A95" s="39" t="s">
        <v>131</v>
      </c>
      <c r="B95" s="121" t="s">
        <v>93</v>
      </c>
      <c r="C95" s="121" t="s">
        <v>168</v>
      </c>
      <c r="D95" s="5">
        <v>4.531817625209178E-2</v>
      </c>
      <c r="E95" s="5">
        <v>4.9849856005247162E-2</v>
      </c>
      <c r="I95" t="str">
        <v>https://www.insee.fr/fr/statistiques/serie/001565195</v>
      </c>
      <c r="J95" t="str">
        <v>001565195</v>
      </c>
      <c r="K95" t="str">
        <v>Travail activités spécialisées</v>
      </c>
      <c r="L95" s="5">
        <v>1.2337896253602043E-2</v>
      </c>
      <c r="M95" s="5">
        <v>2.9584172925444241E-2</v>
      </c>
    </row>
    <row r="96" spans="1:13" x14ac:dyDescent="0.25">
      <c r="A96" s="39" t="s">
        <v>132</v>
      </c>
      <c r="B96" s="121" t="s">
        <v>94</v>
      </c>
      <c r="C96" s="121" t="s">
        <v>169</v>
      </c>
      <c r="D96" s="5">
        <v>7.5806147463699958E-2</v>
      </c>
      <c r="E96" s="5">
        <v>0.12992671816201229</v>
      </c>
      <c r="I96" t="str">
        <v>https://www.insee.fr/fr/statistiques/6020697</v>
      </c>
      <c r="J96" t="str">
        <v>5540998</v>
      </c>
      <c r="K96" t="str">
        <v>Travail</v>
      </c>
      <c r="L96" s="5">
        <v>3.5262206148283237E-3</v>
      </c>
      <c r="M96" s="5">
        <v>-2.785265049415897E-3</v>
      </c>
    </row>
    <row r="97" spans="1:45" x14ac:dyDescent="0.25">
      <c r="A97" s="39" t="s">
        <v>133</v>
      </c>
      <c r="B97" s="121" t="s">
        <v>95</v>
      </c>
      <c r="C97" s="121" t="s">
        <v>170</v>
      </c>
      <c r="D97" s="5">
        <v>0.13794713738675646</v>
      </c>
      <c r="E97" s="5">
        <v>0.359063022866704</v>
      </c>
      <c r="I97" t="str">
        <v>https://www.insee.fr/fr/statistiques/serie/010535345</v>
      </c>
      <c r="J97" t="str">
        <v>010535345</v>
      </c>
      <c r="K97" t="str">
        <v>Câbles de fibres optiques</v>
      </c>
      <c r="L97" s="5">
        <v>-1.0704345964461792E-3</v>
      </c>
      <c r="M97" s="5">
        <v>-2.7916666666666701E-2</v>
      </c>
    </row>
    <row r="98" spans="1:45" x14ac:dyDescent="0.25">
      <c r="A98" s="3"/>
    </row>
    <row r="99" spans="1:45" x14ac:dyDescent="0.25">
      <c r="A99" s="3"/>
    </row>
    <row r="100" spans="1:45" x14ac:dyDescent="0.25">
      <c r="A100" s="3"/>
      <c r="C100" t="str">
        <f>'A MODIFIER'!E12</f>
        <v>*/2021</v>
      </c>
      <c r="D100" s="5">
        <f>('CUMULS INDICES'!B69/'CUMULS INDICES'!B85)-1</f>
        <v>6.106791083462948E-2</v>
      </c>
      <c r="E100" s="5">
        <f>('CUMULS INDICES'!C69/'CUMULS INDICES'!C85)-1</f>
        <v>3.5262206148283237E-3</v>
      </c>
      <c r="F100" s="5">
        <f>('CUMULS INDICES'!D69/'CUMULS INDICES'!D85)-1</f>
        <v>1.2337896253602043E-2</v>
      </c>
      <c r="G100" s="5">
        <f>('CUMULS INDICES'!E69/'CUMULS INDICES'!E85)-1</f>
        <v>0.56175489439496218</v>
      </c>
      <c r="H100" s="5">
        <f>('CUMULS INDICES'!F69/'CUMULS INDICES'!F85)-1</f>
        <v>0.32894112833483691</v>
      </c>
      <c r="I100" s="5">
        <f>('CUMULS INDICES'!G69/'CUMULS INDICES'!G85)-1</f>
        <v>5.7224758466928316E-2</v>
      </c>
      <c r="J100" s="5">
        <f>('CUMULS INDICES'!H69/'CUMULS INDICES'!H85)-1</f>
        <v>4.2897612302711607E-2</v>
      </c>
      <c r="K100" s="5">
        <f>('CUMULS INDICES'!I69/'CUMULS INDICES'!I85)-1</f>
        <v>0.14841341795104257</v>
      </c>
      <c r="L100" s="5">
        <f>('CUMULS INDICES'!J69/'CUMULS INDICES'!J85)-1</f>
        <v>3.41726075652101</v>
      </c>
      <c r="M100" s="5">
        <f>('CUMULS INDICES'!K69/'CUMULS INDICES'!K85)-1</f>
        <v>0.67861438811862906</v>
      </c>
      <c r="N100" s="5">
        <f>('CUMULS INDICES'!L69/'CUMULS INDICES'!L85)-1</f>
        <v>0.19917554795897852</v>
      </c>
      <c r="O100" s="5">
        <f>('CUMULS INDICES'!M69/'CUMULS INDICES'!M85)-1</f>
        <v>0.26293333333333324</v>
      </c>
      <c r="P100" s="5">
        <f>('CUMULS INDICES'!N69/'CUMULS INDICES'!N85)-1</f>
        <v>5.5102467586783721E-2</v>
      </c>
      <c r="Q100" s="5">
        <f>('CUMULS INDICES'!O69/'CUMULS INDICES'!O85)-1</f>
        <v>0.43733296786130316</v>
      </c>
      <c r="R100" s="5">
        <f>('CUMULS INDICES'!P69/'CUMULS INDICES'!P85)-1</f>
        <v>3.8867000319454892E-2</v>
      </c>
      <c r="S100" s="5">
        <f>('CUMULS INDICES'!Q69/'CUMULS INDICES'!Q85)-1</f>
        <v>0.21830985915492973</v>
      </c>
      <c r="T100" s="5">
        <f>('CUMULS INDICES'!R69/'CUMULS INDICES'!R85)-1</f>
        <v>0.22091295116772813</v>
      </c>
      <c r="U100" s="5">
        <f>('CUMULS INDICES'!S69/'CUMULS INDICES'!S85)-1</f>
        <v>0.36238990284209627</v>
      </c>
      <c r="V100" s="5">
        <f>('CUMULS INDICES'!T69/'CUMULS INDICES'!T85)-1</f>
        <v>0.49281822684497301</v>
      </c>
      <c r="W100" s="5">
        <f>('CUMULS INDICES'!U69/'CUMULS INDICES'!U85)-1</f>
        <v>0.44992186390112221</v>
      </c>
      <c r="X100" s="5">
        <f>('CUMULS INDICES'!V69/'CUMULS INDICES'!V85)-1</f>
        <v>0.10338826901422848</v>
      </c>
      <c r="Y100" s="5">
        <f>('CUMULS INDICES'!W69/'CUMULS INDICES'!W85)-1</f>
        <v>6.8490153172866552E-2</v>
      </c>
      <c r="Z100" s="5">
        <f>('CUMULS INDICES'!X69/'CUMULS INDICES'!X85)-1</f>
        <v>0.20940219233811708</v>
      </c>
      <c r="AA100" s="5">
        <f>('CUMULS INDICES'!Y69/'CUMULS INDICES'!Y85)-1</f>
        <v>0.20170848905499206</v>
      </c>
      <c r="AB100" s="5">
        <f>('CUMULS INDICES'!Z69/'CUMULS INDICES'!Z85)-1</f>
        <v>8.5368863380137272E-2</v>
      </c>
      <c r="AC100" s="5">
        <f>('CUMULS INDICES'!AA69/'CUMULS INDICES'!AA85)-1</f>
        <v>7.4293900941465374E-2</v>
      </c>
      <c r="AD100" s="5">
        <f>('CUMULS INDICES'!AB69/'CUMULS INDICES'!AB85)-1</f>
        <v>0.30385684503127175</v>
      </c>
      <c r="AE100" s="5">
        <f>('CUMULS INDICES'!AC69/'CUMULS INDICES'!AC85)-1</f>
        <v>0.26648324653630762</v>
      </c>
      <c r="AF100" s="5">
        <f>('CUMULS INDICES'!AD69/'CUMULS INDICES'!AD85)-1</f>
        <v>0.1052910613932776</v>
      </c>
      <c r="AG100" s="5">
        <f>('CUMULS INDICES'!AE69/'CUMULS INDICES'!AE85)-1</f>
        <v>0.24473788721207312</v>
      </c>
      <c r="AH100" s="5">
        <f>('CUMULS INDICES'!AF69/'CUMULS INDICES'!AF85)-1</f>
        <v>8.8900634249471366E-2</v>
      </c>
      <c r="AI100" s="5">
        <f>('CUMULS INDICES'!AG69/'CUMULS INDICES'!AG85)-1</f>
        <v>8.7262417305471018E-2</v>
      </c>
      <c r="AJ100" s="5">
        <f>('CUMULS INDICES'!AH69/'CUMULS INDICES'!AH85)-1</f>
        <v>3.5718374356038751E-2</v>
      </c>
      <c r="AK100" s="5">
        <f>('CUMULS INDICES'!AI69/'CUMULS INDICES'!AI85)-1</f>
        <v>-1.0704345964461792E-3</v>
      </c>
      <c r="AL100" s="5">
        <f>('CUMULS INDICES'!AJ69/'CUMULS INDICES'!AJ85)-1</f>
        <v>0.20875984251968482</v>
      </c>
      <c r="AM100" s="5">
        <f>('CUMULS INDICES'!AK69/'CUMULS INDICES'!AK85)-1</f>
        <v>0.40667449270501455</v>
      </c>
      <c r="AN100" s="5">
        <f>('CUMULS INDICES'!AL69/'CUMULS INDICES'!AL85)-1</f>
        <v>0.28805031446540896</v>
      </c>
      <c r="AO100" s="5">
        <f>('CUMULS INDICES'!AM69/'CUMULS INDICES'!AM85)-1</f>
        <v>0.14867873390765673</v>
      </c>
      <c r="AP100" s="5">
        <f>('CUMULS INDICES'!AN69/'CUMULS INDICES'!AN85)-1</f>
        <v>4.531817625209178E-2</v>
      </c>
      <c r="AQ100" s="5">
        <f>('CUMULS INDICES'!AO69/'CUMULS INDICES'!AO85)-1</f>
        <v>7.5806147463699958E-2</v>
      </c>
      <c r="AR100" s="5">
        <f>('CUMULS INDICES'!AP69/'CUMULS INDICES'!AP85)-1</f>
        <v>0.13794713738675646</v>
      </c>
      <c r="AS100" s="121"/>
    </row>
    <row r="101" spans="1:45" x14ac:dyDescent="0.25">
      <c r="A101" s="3"/>
      <c r="C101" s="121" t="str">
        <f>'A MODIFIER'!E11</f>
        <v>*/2020</v>
      </c>
      <c r="D101" s="5">
        <f>('CUMULS INDICES'!B69/'CUMULS INDICES'!B101)-1</f>
        <v>9.0231170768083624E-2</v>
      </c>
      <c r="E101" s="5">
        <f>('CUMULS INDICES'!C69/'CUMULS INDICES'!C101)-1</f>
        <v>-2.785265049415897E-3</v>
      </c>
      <c r="F101" s="5">
        <f>('CUMULS INDICES'!D69/'CUMULS INDICES'!D101)-1</f>
        <v>2.9584172925444241E-2</v>
      </c>
      <c r="G101" s="5">
        <f>('CUMULS INDICES'!E69/'CUMULS INDICES'!E101)-1</f>
        <v>0.83458129028007733</v>
      </c>
      <c r="H101" s="5">
        <f>('CUMULS INDICES'!F69/'CUMULS INDICES'!F101)-1</f>
        <v>0.44251655361757103</v>
      </c>
      <c r="I101" s="5">
        <f>('CUMULS INDICES'!G69/'CUMULS INDICES'!G101)-1</f>
        <v>6.7882037533511852E-2</v>
      </c>
      <c r="J101" s="5">
        <f>('CUMULS INDICES'!H69/'CUMULS INDICES'!H101)-1</f>
        <v>4.4906234161176117E-2</v>
      </c>
      <c r="K101" s="5">
        <f>('CUMULS INDICES'!I69/'CUMULS INDICES'!I101)-1</f>
        <v>0.19635436343029844</v>
      </c>
      <c r="L101" s="5">
        <f>('CUMULS INDICES'!J69/'CUMULS INDICES'!J101)-1</f>
        <v>13.907161052929522</v>
      </c>
      <c r="M101" s="5">
        <f>('CUMULS INDICES'!K69/'CUMULS INDICES'!K101)-1</f>
        <v>1.2356522298301886</v>
      </c>
      <c r="N101" s="5">
        <f>('CUMULS INDICES'!L69/'CUMULS INDICES'!L101)-1</f>
        <v>0.32536948549838884</v>
      </c>
      <c r="O101" s="5">
        <f>('CUMULS INDICES'!M69/'CUMULS INDICES'!M101)-1</f>
        <v>0.47830610758505898</v>
      </c>
      <c r="P101" s="5">
        <f>('CUMULS INDICES'!N69/'CUMULS INDICES'!N101)-1</f>
        <v>7.0776740237691094E-2</v>
      </c>
      <c r="Q101" s="5">
        <f>('CUMULS INDICES'!O69/'CUMULS INDICES'!O101)-1</f>
        <v>1.1071930882057464</v>
      </c>
      <c r="R101" s="5">
        <f>('CUMULS INDICES'!P69/'CUMULS INDICES'!P101)-1</f>
        <v>5.1973258572352687E-2</v>
      </c>
      <c r="S101" s="5">
        <f>('CUMULS INDICES'!Q69/'CUMULS INDICES'!Q101)-1</f>
        <v>0.39935290039288196</v>
      </c>
      <c r="T101" s="5">
        <f>('CUMULS INDICES'!R69/'CUMULS INDICES'!R101)-1</f>
        <v>0.24591051890369386</v>
      </c>
      <c r="U101" s="5">
        <f>('CUMULS INDICES'!S69/'CUMULS INDICES'!S101)-1</f>
        <v>0.49695699890252465</v>
      </c>
      <c r="V101" s="5">
        <f>('CUMULS INDICES'!T69/'CUMULS INDICES'!T101)-1</f>
        <v>1.153736218864843</v>
      </c>
      <c r="W101" s="5">
        <f>('CUMULS INDICES'!U69/'CUMULS INDICES'!U101)-1</f>
        <v>0.67311475409836063</v>
      </c>
      <c r="X101" s="5">
        <f>('CUMULS INDICES'!V69/'CUMULS INDICES'!V101)-1</f>
        <v>0.14511845320301697</v>
      </c>
      <c r="Y101" s="5">
        <f>('CUMULS INDICES'!W69/'CUMULS INDICES'!W101)-1</f>
        <v>7.6973974415527113E-2</v>
      </c>
      <c r="Z101" s="5">
        <f>('CUMULS INDICES'!X69/'CUMULS INDICES'!X101)-1</f>
        <v>0.26381672177609783</v>
      </c>
      <c r="AA101" s="5">
        <f>('CUMULS INDICES'!Y69/'CUMULS INDICES'!Y101)-1</f>
        <v>0.2108887454271573</v>
      </c>
      <c r="AB101" s="5">
        <f>('CUMULS INDICES'!Z69/'CUMULS INDICES'!Z101)-1</f>
        <v>0.14091187244128411</v>
      </c>
      <c r="AC101" s="5">
        <f>('CUMULS INDICES'!AA69/'CUMULS INDICES'!AA101)-1</f>
        <v>9.880678249947672E-2</v>
      </c>
      <c r="AD101" s="5">
        <f>('CUMULS INDICES'!AB69/'CUMULS INDICES'!AB101)-1</f>
        <v>0.82959531935641162</v>
      </c>
      <c r="AE101" s="5">
        <f>('CUMULS INDICES'!AC69/'CUMULS INDICES'!AC101)-1</f>
        <v>0.36189771766694845</v>
      </c>
      <c r="AF101" s="5">
        <f>('CUMULS INDICES'!AD69/'CUMULS INDICES'!AD101)-1</f>
        <v>0.1206192216727584</v>
      </c>
      <c r="AG101" s="5">
        <f>('CUMULS INDICES'!AE69/'CUMULS INDICES'!AE101)-1</f>
        <v>0.46374781085814387</v>
      </c>
      <c r="AH101" s="5">
        <f>('CUMULS INDICES'!AF69/'CUMULS INDICES'!AF101)-1</f>
        <v>0.1045464293373366</v>
      </c>
      <c r="AI101" s="5">
        <f>('CUMULS INDICES'!AG69/'CUMULS INDICES'!AG101)-1</f>
        <v>0.11369258900720691</v>
      </c>
      <c r="AJ101" s="5">
        <f>('CUMULS INDICES'!AH69/'CUMULS INDICES'!AH101)-1</f>
        <v>3.3116364051615665E-2</v>
      </c>
      <c r="AK101" s="5">
        <f>('CUMULS INDICES'!AI69/'CUMULS INDICES'!AI101)-1</f>
        <v>-2.7916666666666701E-2</v>
      </c>
      <c r="AL101" s="5">
        <f>('CUMULS INDICES'!AJ69/'CUMULS INDICES'!AJ101)-1</f>
        <v>0.23290834253588977</v>
      </c>
      <c r="AM101" s="5">
        <f>('CUMULS INDICES'!AK69/'CUMULS INDICES'!AK101)-1</f>
        <v>0.75996642887117116</v>
      </c>
      <c r="AN101" s="5">
        <f>('CUMULS INDICES'!AL69/'CUMULS INDICES'!AL101)-1</f>
        <v>0.98017887357988864</v>
      </c>
      <c r="AO101" s="5">
        <f>('CUMULS INDICES'!AM69/'CUMULS INDICES'!AM101)-1</f>
        <v>0.20845213849287192</v>
      </c>
      <c r="AP101" s="5">
        <f>('CUMULS INDICES'!AN69/'CUMULS INDICES'!AN101)-1</f>
        <v>4.9849856005247162E-2</v>
      </c>
      <c r="AQ101" s="5">
        <f>('CUMULS INDICES'!AO69/'CUMULS INDICES'!AO101)-1</f>
        <v>0.12992671816201229</v>
      </c>
      <c r="AR101" s="5">
        <f>('CUMULS INDICES'!AP69/'CUMULS INDICES'!AP101)-1</f>
        <v>0.359063022866704</v>
      </c>
    </row>
    <row r="102" spans="1:45" x14ac:dyDescent="0.25">
      <c r="A102" s="3"/>
    </row>
    <row r="105" spans="1:45" x14ac:dyDescent="0.25">
      <c r="A105" s="259" t="s">
        <v>274</v>
      </c>
      <c r="B105" s="262"/>
      <c r="C105" s="262"/>
      <c r="D105" s="262"/>
      <c r="E105" s="262"/>
    </row>
    <row r="108" spans="1:45" x14ac:dyDescent="0.25">
      <c r="D108" t="str">
        <f>'A MODIFIER'!A11</f>
        <v>*3 mois</v>
      </c>
      <c r="E108" t="str">
        <f>'A MODIFIER'!A12</f>
        <v>*6 mois</v>
      </c>
      <c r="L108" s="121" t="str">
        <f>'A MODIFIER'!A11</f>
        <v>*3 mois</v>
      </c>
      <c r="M108" s="121" t="str">
        <f>'A MODIFIER'!A12</f>
        <v>*6 mois</v>
      </c>
    </row>
    <row r="109" spans="1:45" x14ac:dyDescent="0.25">
      <c r="A109" s="39" t="s">
        <v>96</v>
      </c>
      <c r="B109" s="121" t="s">
        <v>56</v>
      </c>
      <c r="C109" s="181" t="s">
        <v>134</v>
      </c>
      <c r="D109" s="5" cm="1">
        <f t="array" ref="D109:E149">TRANSPOSE(D152:AR153)</f>
        <v>3.0597234480729485E-2</v>
      </c>
      <c r="E109" s="5">
        <v>4.4649614045709107E-2</v>
      </c>
      <c r="I109" t="str" cm="1">
        <f t="array" ref="I109:M149">_xlfn._xlws.SORT(A109:E149,4,-1, FALSE)</f>
        <v>https://www.insee.fr/fr/statistiques/serie/010534776</v>
      </c>
      <c r="J109" t="str">
        <v>010534776</v>
      </c>
      <c r="K109" t="str">
        <v>Gaz naturel</v>
      </c>
      <c r="L109" s="5">
        <v>0.54948535233570839</v>
      </c>
      <c r="M109" s="5">
        <v>0.45761816741484029</v>
      </c>
    </row>
    <row r="110" spans="1:45" x14ac:dyDescent="0.25">
      <c r="A110" s="39" t="s">
        <v>97</v>
      </c>
      <c r="B110" s="121" t="s">
        <v>57</v>
      </c>
      <c r="C110" s="121" t="s">
        <v>135</v>
      </c>
      <c r="D110" s="5">
        <v>1.8898488120950852E-3</v>
      </c>
      <c r="E110" s="5">
        <v>7.6097295828236877E-3</v>
      </c>
      <c r="I110" t="str">
        <v>https://www.insee.fr/fr/statistiques/serie/010534180</v>
      </c>
      <c r="J110" t="str">
        <v>010534180</v>
      </c>
      <c r="K110" t="str">
        <v>Peintures Industries</v>
      </c>
      <c r="L110" s="5">
        <v>0.11947461480171762</v>
      </c>
      <c r="M110" s="5">
        <v>0.10977383943922736</v>
      </c>
    </row>
    <row r="111" spans="1:45" x14ac:dyDescent="0.25">
      <c r="A111" s="39" t="s">
        <v>98</v>
      </c>
      <c r="B111" s="121" t="s">
        <v>58</v>
      </c>
      <c r="C111" s="121" t="s">
        <v>136</v>
      </c>
      <c r="D111" s="5">
        <v>2.6631158455392434E-3</v>
      </c>
      <c r="E111" s="5">
        <v>1.4160485502360043E-2</v>
      </c>
      <c r="I111" t="str">
        <v>https://www.insee.fr/fr/statistiques/serie/010534654</v>
      </c>
      <c r="J111" t="str">
        <v>010534654</v>
      </c>
      <c r="K111" t="str">
        <v>Tubes, tuyaux, profilés creux et accessoires correspondants en acier</v>
      </c>
      <c r="L111" s="5">
        <v>8.8774072334429244E-2</v>
      </c>
      <c r="M111" s="5">
        <v>0.16811137378513252</v>
      </c>
    </row>
    <row r="112" spans="1:45" x14ac:dyDescent="0.25">
      <c r="A112" s="37" t="s">
        <v>279</v>
      </c>
      <c r="B112" s="94" t="s">
        <v>280</v>
      </c>
      <c r="C112" s="121" t="s">
        <v>137</v>
      </c>
      <c r="D112" s="5">
        <v>-5.712849723571789E-2</v>
      </c>
      <c r="E112" s="5">
        <v>0.179321999161556</v>
      </c>
      <c r="I112" t="str">
        <v>https://www.insee.fr/fr/statistiques/serie/010760506</v>
      </c>
      <c r="J112" t="str">
        <v>010760506</v>
      </c>
      <c r="K112" t="str">
        <v>Réseaux d’assainissement</v>
      </c>
      <c r="L112" s="5">
        <v>6.3993174061433455E-2</v>
      </c>
      <c r="M112" s="5">
        <v>6.5878590464909736E-2</v>
      </c>
    </row>
    <row r="113" spans="1:13" x14ac:dyDescent="0.25">
      <c r="A113" s="39" t="s">
        <v>99</v>
      </c>
      <c r="B113" s="121" t="s">
        <v>59</v>
      </c>
      <c r="C113" s="121" t="s">
        <v>138</v>
      </c>
      <c r="D113" s="5">
        <v>-4.0537550043253434E-2</v>
      </c>
      <c r="E113" s="5">
        <v>0.14277836442567171</v>
      </c>
      <c r="I113" t="str">
        <v>https://www.insee.fr/fr/statistiques/serie/010534645</v>
      </c>
      <c r="J113" t="str">
        <v>010534645</v>
      </c>
      <c r="K113" t="str">
        <v>Éléments en béton pour la construction</v>
      </c>
      <c r="L113" s="5">
        <v>5.9336823734729593E-2</v>
      </c>
      <c r="M113" s="5">
        <v>8.1741787624140416E-2</v>
      </c>
    </row>
    <row r="114" spans="1:13" x14ac:dyDescent="0.25">
      <c r="A114" s="39" t="s">
        <v>100</v>
      </c>
      <c r="B114" s="121" t="s">
        <v>60</v>
      </c>
      <c r="C114" s="121" t="s">
        <v>139</v>
      </c>
      <c r="D114" s="5">
        <v>3.372478169226123E-2</v>
      </c>
      <c r="E114" s="5">
        <v>5.679862306368344E-2</v>
      </c>
      <c r="I114" t="str">
        <v>https://www.insee.fr/fr/statistiques/serie/010534638</v>
      </c>
      <c r="J114" t="str">
        <v>010534638</v>
      </c>
      <c r="K114" t="str">
        <v>Tuiles, briques et produits de construction en terre cuite</v>
      </c>
      <c r="L114" s="5">
        <v>5.1855751513556259E-2</v>
      </c>
      <c r="M114" s="5">
        <v>0.1773146050445551</v>
      </c>
    </row>
    <row r="115" spans="1:13" x14ac:dyDescent="0.25">
      <c r="A115" s="39" t="s">
        <v>101</v>
      </c>
      <c r="B115" s="121" t="s">
        <v>61</v>
      </c>
      <c r="C115" s="121" t="s">
        <v>140</v>
      </c>
      <c r="D115" s="5">
        <v>1.7376194613379692E-2</v>
      </c>
      <c r="E115" s="5">
        <v>4.5004500450045226E-2</v>
      </c>
      <c r="I115" t="str">
        <v>https://www.insee.fr/fr/statistiques/serie/010534662</v>
      </c>
      <c r="J115" t="str">
        <v>010534662</v>
      </c>
      <c r="K115" t="str">
        <v>Travaux de fonderie de fonte</v>
      </c>
      <c r="L115" s="5">
        <v>5.1040221914008255E-2</v>
      </c>
      <c r="M115" s="5">
        <v>0.1410493827160495</v>
      </c>
    </row>
    <row r="116" spans="1:13" x14ac:dyDescent="0.25">
      <c r="A116" s="39" t="s">
        <v>102</v>
      </c>
      <c r="B116" s="121" t="s">
        <v>62</v>
      </c>
      <c r="C116" s="121" t="s">
        <v>141</v>
      </c>
      <c r="D116" s="5">
        <v>-0.12578012481997114</v>
      </c>
      <c r="E116" s="5">
        <v>-9.3673824724318289E-2</v>
      </c>
      <c r="I116" t="str">
        <v>https://www.insee.fr/fr/statistiques/serie/001763781</v>
      </c>
      <c r="J116" t="str">
        <v>001763781</v>
      </c>
      <c r="K116" t="str">
        <v>Restaurants et hôtels</v>
      </c>
      <c r="L116" s="5">
        <v>4.8885863936318108E-2</v>
      </c>
      <c r="M116" s="5">
        <v>4.9919631213416915E-2</v>
      </c>
    </row>
    <row r="117" spans="1:13" x14ac:dyDescent="0.25">
      <c r="A117" s="223" t="s">
        <v>297</v>
      </c>
      <c r="B117" s="235" t="s">
        <v>296</v>
      </c>
      <c r="C117" s="235" t="s">
        <v>294</v>
      </c>
      <c r="D117" s="5">
        <v>0.54948535233570839</v>
      </c>
      <c r="E117" s="5">
        <v>0.45761816741484029</v>
      </c>
      <c r="I117" t="str">
        <v>https://www.insee.fr/fr/statistiques/serie/010534642</v>
      </c>
      <c r="J117" t="str">
        <v>010534642</v>
      </c>
      <c r="K117" t="str">
        <v>Ciment, chaux et plâtre</v>
      </c>
      <c r="L117" s="5">
        <v>4.8378661087866037E-2</v>
      </c>
      <c r="M117" s="5">
        <v>0.13670004353504583</v>
      </c>
    </row>
    <row r="118" spans="1:13" x14ac:dyDescent="0.25">
      <c r="A118" s="39" t="s">
        <v>104</v>
      </c>
      <c r="B118" s="121" t="s">
        <v>64</v>
      </c>
      <c r="C118" s="121" t="s">
        <v>64</v>
      </c>
      <c r="D118" s="5">
        <v>-7.3568486780922204E-2</v>
      </c>
      <c r="E118" s="5">
        <v>0.24151290723061747</v>
      </c>
      <c r="I118" t="str">
        <v>https://www.insee.fr/fr/statistiques/serie/001711011</v>
      </c>
      <c r="J118" t="str">
        <v>001711011</v>
      </c>
      <c r="K118" t="str">
        <v>Frais divers</v>
      </c>
      <c r="L118" s="5">
        <v>3.372478169226123E-2</v>
      </c>
      <c r="M118" s="5">
        <v>5.679862306368344E-2</v>
      </c>
    </row>
    <row r="119" spans="1:13" x14ac:dyDescent="0.25">
      <c r="A119" s="39" t="s">
        <v>105</v>
      </c>
      <c r="B119" s="121" t="s">
        <v>65</v>
      </c>
      <c r="C119" s="121" t="s">
        <v>142</v>
      </c>
      <c r="D119" s="5">
        <v>1.2391573729863659E-2</v>
      </c>
      <c r="E119" s="5">
        <v>7.8066914498141182E-2</v>
      </c>
      <c r="I119" t="str">
        <v>https://www.insee.fr/fr/statistiques/serie/001711009</v>
      </c>
      <c r="J119" t="str">
        <v>001711009</v>
      </c>
      <c r="K119" t="str">
        <v>Matériel</v>
      </c>
      <c r="L119" s="5">
        <v>3.0597234480729485E-2</v>
      </c>
      <c r="M119" s="5">
        <v>4.4649614045709107E-2</v>
      </c>
    </row>
    <row r="120" spans="1:13" x14ac:dyDescent="0.25">
      <c r="A120" s="39" t="s">
        <v>106</v>
      </c>
      <c r="B120" s="121" t="s">
        <v>66</v>
      </c>
      <c r="C120" s="121" t="s">
        <v>143</v>
      </c>
      <c r="D120" s="5">
        <v>8.3090984628153564E-4</v>
      </c>
      <c r="E120" s="5">
        <v>7.6802683063163846E-2</v>
      </c>
      <c r="I120" t="str">
        <v>https://www.insee.fr/fr/statistiques/serie/010534646</v>
      </c>
      <c r="J120" t="str">
        <v>010534646</v>
      </c>
      <c r="K120" t="str">
        <v>Béton prêt à l'emploi</v>
      </c>
      <c r="L120" s="5">
        <v>2.5602857993450412E-2</v>
      </c>
      <c r="M120" s="5">
        <v>4.8382126348228027E-2</v>
      </c>
    </row>
    <row r="121" spans="1:13" x14ac:dyDescent="0.25">
      <c r="A121" s="39" t="s">
        <v>107</v>
      </c>
      <c r="B121" s="121" t="s">
        <v>67</v>
      </c>
      <c r="C121" s="121" t="s">
        <v>144</v>
      </c>
      <c r="D121" s="5">
        <v>2.5602857993450412E-2</v>
      </c>
      <c r="E121" s="5">
        <v>4.8382126348228027E-2</v>
      </c>
      <c r="I121" t="str">
        <v>https://www.insee.fr/fr/statistiques/serie/010536067</v>
      </c>
      <c r="J121" t="str">
        <v>010536067</v>
      </c>
      <c r="K121" t="str">
        <v>Sables et granulats</v>
      </c>
      <c r="L121" s="5">
        <v>2.2433927473878512E-2</v>
      </c>
      <c r="M121" s="5">
        <v>4.8430779034570381E-2</v>
      </c>
    </row>
    <row r="122" spans="1:13" x14ac:dyDescent="0.25">
      <c r="A122" s="39" t="s">
        <v>108</v>
      </c>
      <c r="B122" s="121" t="s">
        <v>68</v>
      </c>
      <c r="C122" s="121" t="s">
        <v>145</v>
      </c>
      <c r="D122" s="5">
        <v>-7.5882504509147242E-2</v>
      </c>
      <c r="E122" s="5">
        <v>0.26236159242667578</v>
      </c>
      <c r="I122" t="str">
        <v>https://www.insee.fr/fr/statistiques/serie/010534647</v>
      </c>
      <c r="J122" t="str">
        <v>010534647</v>
      </c>
      <c r="K122" t="str">
        <v>Mortiers et bétons secs</v>
      </c>
      <c r="L122" s="5">
        <v>2.2351500306184935E-2</v>
      </c>
      <c r="M122" s="5">
        <v>6.206785656858016E-2</v>
      </c>
    </row>
    <row r="123" spans="1:13" x14ac:dyDescent="0.25">
      <c r="A123" s="39" t="s">
        <v>109</v>
      </c>
      <c r="B123" s="121" t="s">
        <v>69</v>
      </c>
      <c r="C123" s="121" t="s">
        <v>146</v>
      </c>
      <c r="D123" s="5">
        <v>2.2433927473878512E-2</v>
      </c>
      <c r="E123" s="5">
        <v>4.8430779034570381E-2</v>
      </c>
      <c r="I123" t="str">
        <v>https://www.insee.fr/fr/statistiques/serie/010534696</v>
      </c>
      <c r="J123" t="str">
        <v>010534696</v>
      </c>
      <c r="K123" t="str">
        <v>Moteurs, génératrices, transfo. électr., matér. distrib., cmde électr.</v>
      </c>
      <c r="L123" s="5">
        <v>2.1517883105554025E-2</v>
      </c>
      <c r="M123" s="5">
        <v>5.8787694182150574E-2</v>
      </c>
    </row>
    <row r="124" spans="1:13" x14ac:dyDescent="0.25">
      <c r="A124" s="39" t="s">
        <v>110</v>
      </c>
      <c r="B124" s="121" t="s">
        <v>70</v>
      </c>
      <c r="C124" s="121" t="s">
        <v>147</v>
      </c>
      <c r="D124" s="5">
        <v>9.2098885118760965E-3</v>
      </c>
      <c r="E124" s="5">
        <v>0.10533333333333328</v>
      </c>
      <c r="I124" t="str">
        <v>https://www.insee.fr/fr/statistiques/serie/010534252</v>
      </c>
      <c r="J124" t="str">
        <v>010534252</v>
      </c>
      <c r="K124" t="str">
        <v>Produits de voierie en béton</v>
      </c>
      <c r="L124" s="5">
        <v>2.0532741398446186E-2</v>
      </c>
      <c r="M124" s="5">
        <v>5.9508220573257775E-2</v>
      </c>
    </row>
    <row r="125" spans="1:13" x14ac:dyDescent="0.25">
      <c r="A125" s="39" t="s">
        <v>111</v>
      </c>
      <c r="B125" s="121" t="s">
        <v>71</v>
      </c>
      <c r="C125" s="121" t="s">
        <v>148</v>
      </c>
      <c r="D125" s="5">
        <v>4.8378661087866037E-2</v>
      </c>
      <c r="E125" s="5">
        <v>0.13670004353504583</v>
      </c>
      <c r="I125" t="str">
        <v>https://www.insee.fr/fr/statistiques/serie/010534698</v>
      </c>
      <c r="J125" t="str">
        <v>010534698</v>
      </c>
      <c r="K125" t="str">
        <v>Matériel de distribution et de commande électrique</v>
      </c>
      <c r="L125" s="5">
        <v>1.9976838448176215E-2</v>
      </c>
      <c r="M125" s="5">
        <v>5.6480920654149003E-2</v>
      </c>
    </row>
    <row r="126" spans="1:13" x14ac:dyDescent="0.25">
      <c r="A126" s="39" t="s">
        <v>288</v>
      </c>
      <c r="B126" s="121">
        <v>10534613</v>
      </c>
      <c r="C126" s="121" t="s">
        <v>287</v>
      </c>
      <c r="D126" s="5">
        <v>-7.5698757763976721E-3</v>
      </c>
      <c r="E126" s="5">
        <v>0.16054267947993206</v>
      </c>
      <c r="I126" t="str">
        <v>https://www.insee.fr/fr/statistiques/serie/001711943</v>
      </c>
      <c r="J126" t="str">
        <v>001711943</v>
      </c>
      <c r="K126" t="str">
        <v>Transports routiers</v>
      </c>
      <c r="L126" s="5">
        <v>1.7376194613379692E-2</v>
      </c>
      <c r="M126" s="5">
        <v>4.5004500450045226E-2</v>
      </c>
    </row>
    <row r="127" spans="1:13" x14ac:dyDescent="0.25">
      <c r="A127" s="39" t="s">
        <v>112</v>
      </c>
      <c r="B127" s="121" t="s">
        <v>73</v>
      </c>
      <c r="C127" s="121" t="s">
        <v>149</v>
      </c>
      <c r="D127" s="5">
        <v>-2.1750524109014679E-2</v>
      </c>
      <c r="E127" s="5">
        <v>0.28438962143768598</v>
      </c>
      <c r="I127" t="str">
        <v>https://www.insee.fr/fr/statistiques/serie/010534702</v>
      </c>
      <c r="J127" t="str">
        <v>010534702</v>
      </c>
      <c r="K127" t="str">
        <v>Appareils d'éclairage électrique</v>
      </c>
      <c r="L127" s="5">
        <v>1.556806889698592E-2</v>
      </c>
      <c r="M127" s="5">
        <v>3.6273841961852682E-2</v>
      </c>
    </row>
    <row r="128" spans="1:13" x14ac:dyDescent="0.25">
      <c r="A128" s="39" t="s">
        <v>113</v>
      </c>
      <c r="B128" s="121" t="s">
        <v>74</v>
      </c>
      <c r="C128" s="121" t="s">
        <v>150</v>
      </c>
      <c r="D128" s="5">
        <v>-0.12173117154811708</v>
      </c>
      <c r="E128" s="5">
        <v>0.24652898299201653</v>
      </c>
      <c r="I128" t="str">
        <v>https://www.insee.fr/fr/statistiques/serie/010534330</v>
      </c>
      <c r="J128" t="str">
        <v>010534330</v>
      </c>
      <c r="K128" t="str">
        <v>Fils et câbles d'énergie</v>
      </c>
      <c r="L128" s="5">
        <v>1.2977819726285977E-2</v>
      </c>
      <c r="M128" s="5">
        <v>9.5825305073860001E-2</v>
      </c>
    </row>
    <row r="129" spans="1:13" x14ac:dyDescent="0.25">
      <c r="A129" s="39" t="s">
        <v>114</v>
      </c>
      <c r="B129" s="121" t="s">
        <v>75</v>
      </c>
      <c r="C129" s="121" t="s">
        <v>151</v>
      </c>
      <c r="D129" s="5">
        <v>2.0532741398446186E-2</v>
      </c>
      <c r="E129" s="5">
        <v>5.9508220573257775E-2</v>
      </c>
      <c r="I129" t="str">
        <v>https://www.insee.fr/fr/statistiques/serie/010534667</v>
      </c>
      <c r="J129" t="str">
        <v>010534667</v>
      </c>
      <c r="K129" t="str">
        <v>Éléments en métal pour la construction</v>
      </c>
      <c r="L129" s="5">
        <v>1.251877816725111E-2</v>
      </c>
      <c r="M129" s="5">
        <v>6.9167331737164162E-2</v>
      </c>
    </row>
    <row r="130" spans="1:13" x14ac:dyDescent="0.25">
      <c r="A130" s="39" t="s">
        <v>115</v>
      </c>
      <c r="B130" s="121" t="s">
        <v>76</v>
      </c>
      <c r="C130" s="121" t="s">
        <v>152</v>
      </c>
      <c r="D130" s="5">
        <v>2.2351500306184935E-2</v>
      </c>
      <c r="E130" s="5">
        <v>6.206785656858016E-2</v>
      </c>
      <c r="I130" t="str">
        <v>https://www.insee.fr/fr/statistiques/serie/010534207</v>
      </c>
      <c r="J130" t="str">
        <v>010534207</v>
      </c>
      <c r="K130" t="str">
        <v>Tubes, tuyaux en matière plastique</v>
      </c>
      <c r="L130" s="5">
        <v>1.2391573729863659E-2</v>
      </c>
      <c r="M130" s="5">
        <v>7.8066914498141182E-2</v>
      </c>
    </row>
    <row r="131" spans="1:13" x14ac:dyDescent="0.25">
      <c r="A131" s="39" t="s">
        <v>116</v>
      </c>
      <c r="B131" s="121" t="s">
        <v>77</v>
      </c>
      <c r="C131" s="121" t="s">
        <v>153</v>
      </c>
      <c r="D131" s="5">
        <v>5.1040221914008255E-2</v>
      </c>
      <c r="E131" s="5">
        <v>0.1410493827160495</v>
      </c>
      <c r="I131" t="str">
        <v>https://www.insee.fr/fr/statistiques/serie/010535345</v>
      </c>
      <c r="J131" t="str">
        <v>010535345</v>
      </c>
      <c r="K131" t="str">
        <v>Câbles de fibres optiques</v>
      </c>
      <c r="L131" s="5">
        <v>9.6494049533613069E-3</v>
      </c>
      <c r="M131" s="5">
        <v>1.3956507627393533E-2</v>
      </c>
    </row>
    <row r="132" spans="1:13" x14ac:dyDescent="0.25">
      <c r="A132" s="39" t="s">
        <v>117</v>
      </c>
      <c r="B132" s="121" t="s">
        <v>78</v>
      </c>
      <c r="C132" s="121" t="s">
        <v>154</v>
      </c>
      <c r="D132" s="5">
        <v>5.1855751513556259E-2</v>
      </c>
      <c r="E132" s="5">
        <v>0.1773146050445551</v>
      </c>
      <c r="I132" t="str">
        <v>https://www.insee.fr/fr/statistiques/serie/010534625</v>
      </c>
      <c r="J132" t="str">
        <v>010534625</v>
      </c>
      <c r="K132" t="str">
        <v>Plaques, feuilles, tubes et profilés en matières plastiques</v>
      </c>
      <c r="L132" s="5">
        <v>9.2098885118760965E-3</v>
      </c>
      <c r="M132" s="5">
        <v>0.10533333333333328</v>
      </c>
    </row>
    <row r="133" spans="1:13" x14ac:dyDescent="0.25">
      <c r="A133" s="39" t="s">
        <v>299</v>
      </c>
      <c r="B133" s="228" t="s">
        <v>300</v>
      </c>
      <c r="C133" s="224" t="s">
        <v>298</v>
      </c>
      <c r="D133" s="5">
        <v>6.3993174061433455E-2</v>
      </c>
      <c r="E133" s="5">
        <v>6.5878590464909736E-2</v>
      </c>
      <c r="I133" t="str">
        <v>https://www.insee.fr/fr/statistiques/serie/010534554</v>
      </c>
      <c r="J133" t="str">
        <v>010534554</v>
      </c>
      <c r="K133" t="str">
        <v>Autres textiles</v>
      </c>
      <c r="L133" s="5">
        <v>7.1002556092019109E-3</v>
      </c>
      <c r="M133" s="5">
        <v>4.1408782788092902E-2</v>
      </c>
    </row>
    <row r="134" spans="1:13" x14ac:dyDescent="0.25">
      <c r="A134" s="39" t="s">
        <v>289</v>
      </c>
      <c r="B134" s="94" t="s">
        <v>290</v>
      </c>
      <c r="C134" s="121" t="s">
        <v>291</v>
      </c>
      <c r="D134" s="5">
        <v>7.1002556092019109E-3</v>
      </c>
      <c r="E134" s="5">
        <v>4.1408782788092902E-2</v>
      </c>
      <c r="I134" t="str">
        <v>https://www.insee.fr/fr/statistiques/serie/010534789</v>
      </c>
      <c r="J134" t="str">
        <v>010534789</v>
      </c>
      <c r="K134" t="str">
        <v>Traitement et élimination des déchets non dangereux</v>
      </c>
      <c r="L134" s="5">
        <v>5.5205047318611644E-3</v>
      </c>
      <c r="M134" s="5">
        <v>4.0223616034906096E-2</v>
      </c>
    </row>
    <row r="135" spans="1:13" x14ac:dyDescent="0.25">
      <c r="A135" s="39" t="s">
        <v>119</v>
      </c>
      <c r="B135" s="121" t="s">
        <v>81</v>
      </c>
      <c r="C135" s="121" t="s">
        <v>156</v>
      </c>
      <c r="D135" s="5">
        <v>-4.3709616115545469E-2</v>
      </c>
      <c r="E135" s="5">
        <v>0.13808734107241571</v>
      </c>
      <c r="I135" t="str">
        <v>https://www.insee.fr/fr/statistiques/serie/001565195</v>
      </c>
      <c r="J135" t="str">
        <v>001565195</v>
      </c>
      <c r="K135" t="str">
        <v>Travail activités spécialisées</v>
      </c>
      <c r="L135" s="5">
        <v>2.6631158455392434E-3</v>
      </c>
      <c r="M135" s="5">
        <v>1.4160485502360043E-2</v>
      </c>
    </row>
    <row r="136" spans="1:13" x14ac:dyDescent="0.25">
      <c r="A136" s="39" t="s">
        <v>120</v>
      </c>
      <c r="B136" s="121" t="s">
        <v>82</v>
      </c>
      <c r="C136" s="121" t="s">
        <v>157</v>
      </c>
      <c r="D136" s="5">
        <v>8.8774072334429244E-2</v>
      </c>
      <c r="E136" s="5">
        <v>0.16811137378513252</v>
      </c>
      <c r="I136" t="str">
        <v>https://www.insee.fr/fr/statistiques/6020697</v>
      </c>
      <c r="J136" t="str">
        <v>5540998</v>
      </c>
      <c r="K136" t="str">
        <v>Travail</v>
      </c>
      <c r="L136" s="5">
        <v>1.8898488120950852E-3</v>
      </c>
      <c r="M136" s="5">
        <v>7.6097295828236877E-3</v>
      </c>
    </row>
    <row r="137" spans="1:13" x14ac:dyDescent="0.25">
      <c r="A137" s="39" t="s">
        <v>121</v>
      </c>
      <c r="B137" s="121" t="s">
        <v>83</v>
      </c>
      <c r="C137" s="121" t="s">
        <v>158</v>
      </c>
      <c r="D137" s="5">
        <v>5.9336823734729593E-2</v>
      </c>
      <c r="E137" s="5">
        <v>8.1741787624140416E-2</v>
      </c>
      <c r="I137" t="str">
        <v>https://www.insee.fr/fr/statistiques/serie/010534575</v>
      </c>
      <c r="J137" t="str">
        <v>010534575</v>
      </c>
      <c r="K137" t="str">
        <v>Ensemble des produits du sciage</v>
      </c>
      <c r="L137" s="5">
        <v>8.3090984628153564E-4</v>
      </c>
      <c r="M137" s="5">
        <v>7.6802683063163846E-2</v>
      </c>
    </row>
    <row r="138" spans="1:13" x14ac:dyDescent="0.25">
      <c r="A138" s="39" t="s">
        <v>122</v>
      </c>
      <c r="B138" s="121" t="s">
        <v>84</v>
      </c>
      <c r="C138" s="121" t="s">
        <v>159</v>
      </c>
      <c r="D138" s="5">
        <v>1.2977819726285977E-2</v>
      </c>
      <c r="E138" s="5">
        <v>9.5825305073860001E-2</v>
      </c>
      <c r="I138" t="str">
        <v>https://www.insee.fr/fr/statistiques/serie/010536480</v>
      </c>
      <c r="J138" t="str">
        <v>010536480</v>
      </c>
      <c r="K138" t="str">
        <v>Tôles quarto et autres produits plats en aciers non alliés de qualité</v>
      </c>
      <c r="L138" s="5">
        <v>-9.0187590187607025E-4</v>
      </c>
      <c r="M138" s="5">
        <v>2.506474287828353E-2</v>
      </c>
    </row>
    <row r="139" spans="1:13" x14ac:dyDescent="0.25">
      <c r="A139" s="39" t="s">
        <v>123</v>
      </c>
      <c r="B139" s="121" t="s">
        <v>85</v>
      </c>
      <c r="C139" s="121" t="s">
        <v>160</v>
      </c>
      <c r="D139" s="5">
        <v>2.1517883105554025E-2</v>
      </c>
      <c r="E139" s="5">
        <v>5.8787694182150574E-2</v>
      </c>
      <c r="I139" t="str">
        <v>https://www.insee.fr/fr/statistiques/serie/'010534613</v>
      </c>
      <c r="J139">
        <v>10534613</v>
      </c>
      <c r="K139" t="str">
        <v>Autres produits explosifs</v>
      </c>
      <c r="L139" s="5">
        <v>-7.5698757763976721E-3</v>
      </c>
      <c r="M139" s="5">
        <v>0.16054267947993206</v>
      </c>
    </row>
    <row r="140" spans="1:13" x14ac:dyDescent="0.25">
      <c r="A140" s="39" t="s">
        <v>124</v>
      </c>
      <c r="B140" s="121" t="s">
        <v>86</v>
      </c>
      <c r="C140" s="121" t="s">
        <v>161</v>
      </c>
      <c r="D140" s="5">
        <v>1.9976838448176215E-2</v>
      </c>
      <c r="E140" s="5">
        <v>5.6480920654149003E-2</v>
      </c>
      <c r="I140" t="str">
        <v>https://www.insee.fr/fr/statistiques/serie/010536462</v>
      </c>
      <c r="J140" t="str">
        <v>010536462</v>
      </c>
      <c r="K140" t="str">
        <v>Acier pour la construction</v>
      </c>
      <c r="L140" s="5">
        <v>-2.1750524109014679E-2</v>
      </c>
      <c r="M140" s="5">
        <v>0.28438962143768598</v>
      </c>
    </row>
    <row r="141" spans="1:13" x14ac:dyDescent="0.25">
      <c r="A141" s="39" t="s">
        <v>125</v>
      </c>
      <c r="B141" s="121" t="s">
        <v>87</v>
      </c>
      <c r="C141" s="121" t="s">
        <v>162</v>
      </c>
      <c r="D141" s="5">
        <v>1.556806889698592E-2</v>
      </c>
      <c r="E141" s="5">
        <v>3.6273841961852682E-2</v>
      </c>
      <c r="I141" t="str">
        <v>https://www.insee.fr/fr/statistiques/serie/001764283</v>
      </c>
      <c r="J141" t="str">
        <v>001764283</v>
      </c>
      <c r="K141" t="str">
        <v>Gazole</v>
      </c>
      <c r="L141" s="5">
        <v>-4.0537550043253434E-2</v>
      </c>
      <c r="M141" s="5">
        <v>0.14277836442567171</v>
      </c>
    </row>
    <row r="142" spans="1:13" x14ac:dyDescent="0.25">
      <c r="A142" s="39" t="s">
        <v>126</v>
      </c>
      <c r="B142" s="121" t="s">
        <v>88</v>
      </c>
      <c r="C142" s="121" t="s">
        <v>163</v>
      </c>
      <c r="D142" s="5">
        <v>9.6494049533613069E-3</v>
      </c>
      <c r="E142" s="5">
        <v>1.3956507627393533E-2</v>
      </c>
      <c r="I142" t="str">
        <v>https://www.insee.fr/fr/statistiques/serie/010534606</v>
      </c>
      <c r="J142" t="str">
        <v>010534606</v>
      </c>
      <c r="K142" t="str">
        <v>Matières plastiques sous formes primaires</v>
      </c>
      <c r="L142" s="5">
        <v>-4.3709616115545469E-2</v>
      </c>
      <c r="M142" s="5">
        <v>0.13808734107241571</v>
      </c>
    </row>
    <row r="143" spans="1:13" x14ac:dyDescent="0.25">
      <c r="A143" s="39" t="s">
        <v>127</v>
      </c>
      <c r="B143" s="121" t="s">
        <v>89</v>
      </c>
      <c r="C143" s="121" t="s">
        <v>164</v>
      </c>
      <c r="D143" s="5">
        <v>0.11947461480171762</v>
      </c>
      <c r="E143" s="5">
        <v>0.10977383943922736</v>
      </c>
      <c r="I143" t="str">
        <v>https://www.insee.fr/fr/statistiques/serie/010534267</v>
      </c>
      <c r="J143" t="str">
        <v>010534267</v>
      </c>
      <c r="K143" t="str">
        <v>Produits sidérurgiques en acier non allié</v>
      </c>
      <c r="L143" s="5">
        <v>-5.0373134328358105E-2</v>
      </c>
      <c r="M143" s="5">
        <v>0.17319861196162489</v>
      </c>
    </row>
    <row r="144" spans="1:13" x14ac:dyDescent="0.25">
      <c r="A144" s="39" t="s">
        <v>128</v>
      </c>
      <c r="B144" s="121" t="s">
        <v>90</v>
      </c>
      <c r="C144" s="121" t="s">
        <v>165</v>
      </c>
      <c r="D144" s="5">
        <v>-5.0373134328358105E-2</v>
      </c>
      <c r="E144" s="5">
        <v>0.17319861196162489</v>
      </c>
      <c r="I144" t="str">
        <v>https://www.insee.fr/fr/statistiques/serie/010758171#Tableau</v>
      </c>
      <c r="J144" t="str">
        <v>010758171</v>
      </c>
      <c r="K144" t="str">
        <v>GNR</v>
      </c>
      <c r="L144" s="5">
        <v>-5.712849723571789E-2</v>
      </c>
      <c r="M144" s="5">
        <v>0.179321999161556</v>
      </c>
    </row>
    <row r="145" spans="1:45" x14ac:dyDescent="0.25">
      <c r="A145" s="39" t="s">
        <v>129</v>
      </c>
      <c r="B145" s="121" t="s">
        <v>91</v>
      </c>
      <c r="C145" s="121" t="s">
        <v>166</v>
      </c>
      <c r="D145" s="5">
        <v>-9.0187590187607025E-4</v>
      </c>
      <c r="E145" s="5">
        <v>2.506474287828353E-2</v>
      </c>
      <c r="I145" t="str">
        <v>https://www.fntp.fr/sites/default/files/content/indice_gazole_htt.pdf</v>
      </c>
      <c r="J145" t="str">
        <v>Gazole routier HTT</v>
      </c>
      <c r="K145" t="str">
        <v>Gazole routier HTT</v>
      </c>
      <c r="L145" s="5">
        <v>-7.3568486780922204E-2</v>
      </c>
      <c r="M145" s="5">
        <v>0.24151290723061747</v>
      </c>
    </row>
    <row r="146" spans="1:45" x14ac:dyDescent="0.25">
      <c r="A146" s="39" t="s">
        <v>130</v>
      </c>
      <c r="B146" s="121" t="s">
        <v>92</v>
      </c>
      <c r="C146" s="121" t="s">
        <v>167</v>
      </c>
      <c r="D146" s="5">
        <v>1.251877816725111E-2</v>
      </c>
      <c r="E146" s="5">
        <v>6.9167331737164162E-2</v>
      </c>
      <c r="I146" t="str">
        <v>https://www.insee.fr/fr/statistiques/serie/010546545</v>
      </c>
      <c r="J146" t="str">
        <v>010546545</v>
      </c>
      <c r="K146" t="str">
        <v>Barres crénelées ou nervurées pour béton armé</v>
      </c>
      <c r="L146" s="5">
        <v>-7.5882504509147242E-2</v>
      </c>
      <c r="M146" s="5">
        <v>0.26236159242667578</v>
      </c>
    </row>
    <row r="147" spans="1:45" x14ac:dyDescent="0.25">
      <c r="A147" s="39" t="s">
        <v>131</v>
      </c>
      <c r="B147" s="121" t="s">
        <v>93</v>
      </c>
      <c r="C147" s="121" t="s">
        <v>168</v>
      </c>
      <c r="D147" s="5">
        <v>4.8885863936318108E-2</v>
      </c>
      <c r="E147" s="5">
        <v>4.9919631213416915E-2</v>
      </c>
      <c r="I147" t="str">
        <v>https://www.insee.fr/fr/statistiques/serie/010534784</v>
      </c>
      <c r="J147" t="str">
        <v>010534784</v>
      </c>
      <c r="K147" t="str">
        <v>Collecte, traitement et élimination des déchets ; récupération de matériaux</v>
      </c>
      <c r="L147" s="5">
        <v>-7.7086781745093313E-2</v>
      </c>
      <c r="M147" s="5">
        <v>7.4666314259283828E-2</v>
      </c>
    </row>
    <row r="148" spans="1:45" x14ac:dyDescent="0.25">
      <c r="A148" s="39" t="s">
        <v>132</v>
      </c>
      <c r="B148" s="121" t="s">
        <v>94</v>
      </c>
      <c r="C148" s="121" t="s">
        <v>169</v>
      </c>
      <c r="D148" s="5">
        <v>5.5205047318611644E-3</v>
      </c>
      <c r="E148" s="5">
        <v>4.0223616034906096E-2</v>
      </c>
      <c r="I148" t="str">
        <v>https://www.insee.fr/fr/statistiques/serie/010534598</v>
      </c>
      <c r="J148" t="str">
        <v>010534598</v>
      </c>
      <c r="K148" t="str">
        <v>Bitume</v>
      </c>
      <c r="L148" s="5">
        <v>-0.12173117154811708</v>
      </c>
      <c r="M148" s="5">
        <v>0.24652898299201653</v>
      </c>
    </row>
    <row r="149" spans="1:45" x14ac:dyDescent="0.25">
      <c r="A149" s="39" t="s">
        <v>133</v>
      </c>
      <c r="B149" s="121" t="s">
        <v>95</v>
      </c>
      <c r="C149" s="121" t="s">
        <v>170</v>
      </c>
      <c r="D149" s="5">
        <v>-7.7086781745093313E-2</v>
      </c>
      <c r="E149" s="5">
        <v>7.4666314259283828E-2</v>
      </c>
      <c r="I149" t="str">
        <v>https://www.insee.fr/fr/statistiques/serie/010534769</v>
      </c>
      <c r="J149" t="str">
        <v>010534769</v>
      </c>
      <c r="K149" t="str">
        <v>Électricité vendue aux entreprises consommatrices finales</v>
      </c>
      <c r="L149" s="5">
        <v>-0.12578012481997114</v>
      </c>
      <c r="M149" s="5">
        <v>-9.3673824724318289E-2</v>
      </c>
    </row>
    <row r="152" spans="1:45" x14ac:dyDescent="0.25">
      <c r="C152" s="121" t="str">
        <f>'A MODIFIER'!A11</f>
        <v>*3 mois</v>
      </c>
      <c r="D152">
        <f>('CUMULS INDICES'!B184/'CUMULS INDICES'!B185)-1</f>
        <v>3.0597234480729485E-2</v>
      </c>
      <c r="E152" s="121">
        <f>('CUMULS INDICES'!C184/'CUMULS INDICES'!C185)-1</f>
        <v>1.8898488120950852E-3</v>
      </c>
      <c r="F152" s="121">
        <f>('CUMULS INDICES'!D184/'CUMULS INDICES'!D185)-1</f>
        <v>2.6631158455392434E-3</v>
      </c>
      <c r="G152" s="121">
        <f>('CUMULS INDICES'!E184/'CUMULS INDICES'!E185)-1</f>
        <v>-5.712849723571789E-2</v>
      </c>
      <c r="H152" s="121">
        <f>('CUMULS INDICES'!F184/'CUMULS INDICES'!F185)-1</f>
        <v>-4.0537550043253434E-2</v>
      </c>
      <c r="I152" s="121">
        <f>('CUMULS INDICES'!G184/'CUMULS INDICES'!G185)-1</f>
        <v>3.372478169226123E-2</v>
      </c>
      <c r="J152" s="121">
        <f>('CUMULS INDICES'!H184/'CUMULS INDICES'!H185)-1</f>
        <v>1.7376194613379692E-2</v>
      </c>
      <c r="K152" s="121">
        <f>('CUMULS INDICES'!I184/'CUMULS INDICES'!I185)-1</f>
        <v>-0.12578012481997114</v>
      </c>
      <c r="L152" s="121">
        <f>('CUMULS INDICES'!J184/'CUMULS INDICES'!J185)-1</f>
        <v>0.54948535233570839</v>
      </c>
      <c r="M152" s="121">
        <f>('CUMULS INDICES'!K184/'CUMULS INDICES'!K185)-1</f>
        <v>-7.3568486780922204E-2</v>
      </c>
      <c r="N152" s="121">
        <f>('CUMULS INDICES'!L184/'CUMULS INDICES'!L185)-1</f>
        <v>1.2391573729863659E-2</v>
      </c>
      <c r="O152" s="121">
        <f>('CUMULS INDICES'!M184/'CUMULS INDICES'!M185)-1</f>
        <v>8.3090984628153564E-4</v>
      </c>
      <c r="P152" s="121">
        <f>('CUMULS INDICES'!N184/'CUMULS INDICES'!N185)-1</f>
        <v>2.5602857993450412E-2</v>
      </c>
      <c r="Q152" s="121">
        <f>('CUMULS INDICES'!O184/'CUMULS INDICES'!O185)-1</f>
        <v>-7.5882504509147242E-2</v>
      </c>
      <c r="R152" s="121">
        <f>('CUMULS INDICES'!P184/'CUMULS INDICES'!P185)-1</f>
        <v>2.2433927473878512E-2</v>
      </c>
      <c r="S152" s="121">
        <f>('CUMULS INDICES'!Q184/'CUMULS INDICES'!Q185)-1</f>
        <v>9.2098885118760965E-3</v>
      </c>
      <c r="T152" s="121">
        <f>('CUMULS INDICES'!R184/'CUMULS INDICES'!R185)-1</f>
        <v>4.8378661087866037E-2</v>
      </c>
      <c r="U152" s="121">
        <f>('CUMULS INDICES'!S184/'CUMULS INDICES'!S185)-1</f>
        <v>-7.5698757763976721E-3</v>
      </c>
      <c r="V152" s="121">
        <f>('CUMULS INDICES'!T184/'CUMULS INDICES'!T185)-1</f>
        <v>-2.1750524109014679E-2</v>
      </c>
      <c r="W152" s="121">
        <f>('CUMULS INDICES'!U184/'CUMULS INDICES'!U185)-1</f>
        <v>-0.12173117154811708</v>
      </c>
      <c r="X152" s="121">
        <f>('CUMULS INDICES'!V184/'CUMULS INDICES'!V185)-1</f>
        <v>2.0532741398446186E-2</v>
      </c>
      <c r="Y152" s="121">
        <f>('CUMULS INDICES'!W184/'CUMULS INDICES'!W185)-1</f>
        <v>2.2351500306184935E-2</v>
      </c>
      <c r="Z152" s="121">
        <f>('CUMULS INDICES'!X184/'CUMULS INDICES'!X185)-1</f>
        <v>5.1040221914008255E-2</v>
      </c>
      <c r="AA152" s="121">
        <f>('CUMULS INDICES'!Y184/'CUMULS INDICES'!Y185)-1</f>
        <v>5.1855751513556259E-2</v>
      </c>
      <c r="AB152" s="121">
        <f>('CUMULS INDICES'!Z184/'CUMULS INDICES'!Z185)-1</f>
        <v>6.3993174061433455E-2</v>
      </c>
      <c r="AC152" s="121">
        <f>('CUMULS INDICES'!AA184/'CUMULS INDICES'!AA185)-1</f>
        <v>7.1002556092019109E-3</v>
      </c>
      <c r="AD152" s="121">
        <f>('CUMULS INDICES'!AB184/'CUMULS INDICES'!AB185)-1</f>
        <v>-4.3709616115545469E-2</v>
      </c>
      <c r="AE152" s="121">
        <f>('CUMULS INDICES'!AC184/'CUMULS INDICES'!AC185)-1</f>
        <v>8.8774072334429244E-2</v>
      </c>
      <c r="AF152" s="121">
        <f>('CUMULS INDICES'!AD184/'CUMULS INDICES'!AD185)-1</f>
        <v>5.9336823734729593E-2</v>
      </c>
      <c r="AG152" s="121">
        <f>('CUMULS INDICES'!AE184/'CUMULS INDICES'!AE185)-1</f>
        <v>1.2977819726285977E-2</v>
      </c>
      <c r="AH152" s="121">
        <f>('CUMULS INDICES'!AF184/'CUMULS INDICES'!AF185)-1</f>
        <v>2.1517883105554025E-2</v>
      </c>
      <c r="AI152" s="121">
        <f>('CUMULS INDICES'!AG184/'CUMULS INDICES'!AG185)-1</f>
        <v>1.9976838448176215E-2</v>
      </c>
      <c r="AJ152" s="121">
        <f>('CUMULS INDICES'!AH184/'CUMULS INDICES'!AH185)-1</f>
        <v>1.556806889698592E-2</v>
      </c>
      <c r="AK152" s="121">
        <f>('CUMULS INDICES'!AI184/'CUMULS INDICES'!AI185)-1</f>
        <v>9.6494049533613069E-3</v>
      </c>
      <c r="AL152" s="121">
        <f>('CUMULS INDICES'!AJ184/'CUMULS INDICES'!AJ185)-1</f>
        <v>0.11947461480171762</v>
      </c>
      <c r="AM152" s="121">
        <f>('CUMULS INDICES'!AK184/'CUMULS INDICES'!AK185)-1</f>
        <v>-5.0373134328358105E-2</v>
      </c>
      <c r="AN152" s="121">
        <f>('CUMULS INDICES'!AL184/'CUMULS INDICES'!AL185)-1</f>
        <v>-9.0187590187607025E-4</v>
      </c>
      <c r="AO152" s="121">
        <f>('CUMULS INDICES'!AM184/'CUMULS INDICES'!AM185)-1</f>
        <v>1.251877816725111E-2</v>
      </c>
      <c r="AP152" s="121">
        <f>('CUMULS INDICES'!AN184/'CUMULS INDICES'!AN185)-1</f>
        <v>4.8885863936318108E-2</v>
      </c>
      <c r="AQ152" s="121">
        <f>('CUMULS INDICES'!AO184/'CUMULS INDICES'!AO185)-1</f>
        <v>5.5205047318611644E-3</v>
      </c>
      <c r="AR152" s="121">
        <f>('CUMULS INDICES'!AP184/'CUMULS INDICES'!AP185)-1</f>
        <v>-7.7086781745093313E-2</v>
      </c>
      <c r="AS152" s="121"/>
    </row>
    <row r="153" spans="1:45" x14ac:dyDescent="0.25">
      <c r="C153" s="121" t="str">
        <f>'A MODIFIER'!A12</f>
        <v>*6 mois</v>
      </c>
      <c r="D153" s="121">
        <f>('CUMULS INDICES'!B200/'CUMULS INDICES'!B201)-1</f>
        <v>4.4649614045709107E-2</v>
      </c>
      <c r="E153" s="121">
        <f>('CUMULS INDICES'!C200/'CUMULS INDICES'!C201)-1</f>
        <v>7.6097295828236877E-3</v>
      </c>
      <c r="F153" s="121">
        <f>('CUMULS INDICES'!D200/'CUMULS INDICES'!D201)-1</f>
        <v>1.4160485502360043E-2</v>
      </c>
      <c r="G153" s="121">
        <f>('CUMULS INDICES'!E200/'CUMULS INDICES'!E201)-1</f>
        <v>0.179321999161556</v>
      </c>
      <c r="H153" s="121">
        <f>('CUMULS INDICES'!F200/'CUMULS INDICES'!F201)-1</f>
        <v>0.14277836442567171</v>
      </c>
      <c r="I153" s="121">
        <f>('CUMULS INDICES'!G200/'CUMULS INDICES'!G201)-1</f>
        <v>5.679862306368344E-2</v>
      </c>
      <c r="J153" s="121">
        <f>('CUMULS INDICES'!H200/'CUMULS INDICES'!H201)-1</f>
        <v>4.5004500450045226E-2</v>
      </c>
      <c r="K153" s="121">
        <f>('CUMULS INDICES'!I200/'CUMULS INDICES'!I201)-1</f>
        <v>-9.3673824724318289E-2</v>
      </c>
      <c r="L153" s="121">
        <f>('CUMULS INDICES'!J200/'CUMULS INDICES'!J201)-1</f>
        <v>0.45761816741484029</v>
      </c>
      <c r="M153" s="121">
        <f>('CUMULS INDICES'!K200/'CUMULS INDICES'!K201)-1</f>
        <v>0.24151290723061747</v>
      </c>
      <c r="N153" s="121">
        <f>('CUMULS INDICES'!L200/'CUMULS INDICES'!L201)-1</f>
        <v>7.8066914498141182E-2</v>
      </c>
      <c r="O153" s="121">
        <f>('CUMULS INDICES'!M200/'CUMULS INDICES'!M201)-1</f>
        <v>7.6802683063163846E-2</v>
      </c>
      <c r="P153" s="121">
        <f>('CUMULS INDICES'!N200/'CUMULS INDICES'!N201)-1</f>
        <v>4.8382126348228027E-2</v>
      </c>
      <c r="Q153" s="121">
        <f>('CUMULS INDICES'!O200/'CUMULS INDICES'!O201)-1</f>
        <v>0.26236159242667578</v>
      </c>
      <c r="R153" s="121">
        <f>('CUMULS INDICES'!P200/'CUMULS INDICES'!P201)-1</f>
        <v>4.8430779034570381E-2</v>
      </c>
      <c r="S153" s="121">
        <f>('CUMULS INDICES'!Q200/'CUMULS INDICES'!Q201)-1</f>
        <v>0.10533333333333328</v>
      </c>
      <c r="T153" s="121">
        <f>('CUMULS INDICES'!R200/'CUMULS INDICES'!R201)-1</f>
        <v>0.13670004353504583</v>
      </c>
      <c r="U153" s="121">
        <f>('CUMULS INDICES'!S200/'CUMULS INDICES'!S201)-1</f>
        <v>0.16054267947993206</v>
      </c>
      <c r="V153" s="121">
        <f>('CUMULS INDICES'!T200/'CUMULS INDICES'!T201)-1</f>
        <v>0.28438962143768598</v>
      </c>
      <c r="W153" s="121">
        <f>('CUMULS INDICES'!U200/'CUMULS INDICES'!U201)-1</f>
        <v>0.24652898299201653</v>
      </c>
      <c r="X153" s="121">
        <f>('CUMULS INDICES'!V200/'CUMULS INDICES'!V201)-1</f>
        <v>5.9508220573257775E-2</v>
      </c>
      <c r="Y153" s="121">
        <f>('CUMULS INDICES'!W200/'CUMULS INDICES'!W201)-1</f>
        <v>6.206785656858016E-2</v>
      </c>
      <c r="Z153" s="121">
        <f>('CUMULS INDICES'!X200/'CUMULS INDICES'!X201)-1</f>
        <v>0.1410493827160495</v>
      </c>
      <c r="AA153" s="121">
        <f>('CUMULS INDICES'!Y200/'CUMULS INDICES'!Y201)-1</f>
        <v>0.1773146050445551</v>
      </c>
      <c r="AB153" s="121">
        <f>('CUMULS INDICES'!Z200/'CUMULS INDICES'!Z201)-1</f>
        <v>6.5878590464909736E-2</v>
      </c>
      <c r="AC153" s="121">
        <f>('CUMULS INDICES'!AA200/'CUMULS INDICES'!AA201)-1</f>
        <v>4.1408782788092902E-2</v>
      </c>
      <c r="AD153" s="121">
        <f>('CUMULS INDICES'!AB200/'CUMULS INDICES'!AB201)-1</f>
        <v>0.13808734107241571</v>
      </c>
      <c r="AE153" s="121">
        <f>('CUMULS INDICES'!AC200/'CUMULS INDICES'!AC201)-1</f>
        <v>0.16811137378513252</v>
      </c>
      <c r="AF153" s="121">
        <f>('CUMULS INDICES'!AD200/'CUMULS INDICES'!AD201)-1</f>
        <v>8.1741787624140416E-2</v>
      </c>
      <c r="AG153" s="121">
        <f>('CUMULS INDICES'!AE200/'CUMULS INDICES'!AE201)-1</f>
        <v>9.5825305073860001E-2</v>
      </c>
      <c r="AH153" s="121">
        <f>('CUMULS INDICES'!AF200/'CUMULS INDICES'!AF201)-1</f>
        <v>5.8787694182150574E-2</v>
      </c>
      <c r="AI153" s="121">
        <f>('CUMULS INDICES'!AG200/'CUMULS INDICES'!AG201)-1</f>
        <v>5.6480920654149003E-2</v>
      </c>
      <c r="AJ153" s="121">
        <f>('CUMULS INDICES'!AH200/'CUMULS INDICES'!AH201)-1</f>
        <v>3.6273841961852682E-2</v>
      </c>
      <c r="AK153" s="121">
        <f>('CUMULS INDICES'!AI200/'CUMULS INDICES'!AI201)-1</f>
        <v>1.3956507627393533E-2</v>
      </c>
      <c r="AL153" s="121">
        <f>('CUMULS INDICES'!AJ200/'CUMULS INDICES'!AJ201)-1</f>
        <v>0.10977383943922736</v>
      </c>
      <c r="AM153" s="121">
        <f>('CUMULS INDICES'!AK200/'CUMULS INDICES'!AK201)-1</f>
        <v>0.17319861196162489</v>
      </c>
      <c r="AN153" s="121">
        <f>('CUMULS INDICES'!AL200/'CUMULS INDICES'!AL201)-1</f>
        <v>2.506474287828353E-2</v>
      </c>
      <c r="AO153" s="121">
        <f>('CUMULS INDICES'!AM200/'CUMULS INDICES'!AM201)-1</f>
        <v>6.9167331737164162E-2</v>
      </c>
      <c r="AP153" s="121">
        <f>('CUMULS INDICES'!AN200/'CUMULS INDICES'!AN201)-1</f>
        <v>4.9919631213416915E-2</v>
      </c>
      <c r="AQ153" s="121">
        <f>('CUMULS INDICES'!AO200/'CUMULS INDICES'!AO201)-1</f>
        <v>4.0223616034906096E-2</v>
      </c>
      <c r="AR153" s="121">
        <f>('CUMULS INDICES'!AP200/'CUMULS INDICES'!AP201)-1</f>
        <v>7.4666314259283828E-2</v>
      </c>
    </row>
    <row r="157" spans="1:45" x14ac:dyDescent="0.25">
      <c r="A157" s="259" t="str">
        <f>"D. EVOLUTION PONCTUELLE : "&amp;'A MODIFIER'!F4&amp;" SUR "&amp;UPPER(TEXT(EDATE(DATE4,-12),"mmmmmmm aaaa"))&amp;" ET "&amp;UPPER(TEXT(EDATE(DATE4,-24),"mmmmmmm aaaa"))</f>
        <v>D. EVOLUTION PONCTUELLE : SEPTEMBRE 2022 SUR SEPTEMBRE 2021 ET SEPTEMBRE 2020</v>
      </c>
      <c r="B157" s="259"/>
      <c r="C157" s="259"/>
    </row>
    <row r="160" spans="1:45" x14ac:dyDescent="0.25">
      <c r="D160" t="str">
        <f>'A MODIFIER'!E15</f>
        <v>*/septembre 2021</v>
      </c>
      <c r="E160" s="121" t="str">
        <f>'A MODIFIER'!E16</f>
        <v>*/septembre 2020</v>
      </c>
    </row>
    <row r="161" spans="1:13" x14ac:dyDescent="0.25">
      <c r="A161" s="39" t="s">
        <v>96</v>
      </c>
      <c r="B161" s="121" t="s">
        <v>56</v>
      </c>
      <c r="C161" s="181" t="s">
        <v>134</v>
      </c>
      <c r="D161" cm="1">
        <f t="array" ref="D161:E201">TRANSPOSE(D204:AR205)</f>
        <v>7.8268876611418126E-2</v>
      </c>
      <c r="E161">
        <v>0.12164750957854387</v>
      </c>
      <c r="I161" t="str" cm="1">
        <f t="array" ref="I161:M201">_xlfn._xlws.SORT(A161:E201, 4,-1, FALSE)</f>
        <v>https://www.insee.fr/fr/statistiques/serie/010534776</v>
      </c>
      <c r="J161" t="str">
        <v>010534776</v>
      </c>
      <c r="K161" t="str">
        <v>Gaz naturel</v>
      </c>
      <c r="L161">
        <v>2.8989979959919836</v>
      </c>
      <c r="M161">
        <v>21.260869565217387</v>
      </c>
    </row>
    <row r="162" spans="1:13" x14ac:dyDescent="0.25">
      <c r="A162" s="39" t="s">
        <v>97</v>
      </c>
      <c r="B162" s="121" t="s">
        <v>57</v>
      </c>
      <c r="C162" s="121" t="s">
        <v>135</v>
      </c>
      <c r="D162">
        <v>8.1499592502036755E-3</v>
      </c>
      <c r="E162">
        <v>8.0906148867310179E-4</v>
      </c>
      <c r="I162" t="str">
        <v>https://www.fntp.fr/sites/default/files/content/indice_gazole_htt.pdf</v>
      </c>
      <c r="J162" t="str">
        <v>Gazole routier HTT</v>
      </c>
      <c r="K162" t="str">
        <v>Gazole routier HTT</v>
      </c>
      <c r="L162">
        <v>0.37602544784865155</v>
      </c>
      <c r="M162">
        <v>0.92227498746189607</v>
      </c>
    </row>
    <row r="163" spans="1:13" x14ac:dyDescent="0.25">
      <c r="A163" s="39" t="s">
        <v>98</v>
      </c>
      <c r="B163" s="121" t="s">
        <v>58</v>
      </c>
      <c r="C163" s="121" t="s">
        <v>136</v>
      </c>
      <c r="D163">
        <v>1.9496344435418367E-2</v>
      </c>
      <c r="E163">
        <v>2.3654159869494373E-2</v>
      </c>
      <c r="I163" t="str">
        <v>https://www.insee.fr/fr/statistiques/serie/010758171#Tableau</v>
      </c>
      <c r="J163" t="str">
        <v>010758171</v>
      </c>
      <c r="K163" t="str">
        <v>GNR</v>
      </c>
      <c r="L163">
        <v>0.34846054532153681</v>
      </c>
      <c r="M163">
        <v>0.86102171642295633</v>
      </c>
    </row>
    <row r="164" spans="1:13" x14ac:dyDescent="0.25">
      <c r="A164" s="37" t="s">
        <v>279</v>
      </c>
      <c r="B164" s="94" t="s">
        <v>280</v>
      </c>
      <c r="C164" s="121" t="s">
        <v>137</v>
      </c>
      <c r="D164">
        <v>0.34846054532153681</v>
      </c>
      <c r="E164">
        <v>0.86102171642295633</v>
      </c>
      <c r="I164" t="str">
        <v>https://www.insee.fr/fr/statistiques/serie/010534180</v>
      </c>
      <c r="J164" t="str">
        <v>010534180</v>
      </c>
      <c r="K164" t="str">
        <v>Peintures Industries</v>
      </c>
      <c r="L164">
        <v>0.2872788542544229</v>
      </c>
      <c r="M164">
        <v>0.35221238938053112</v>
      </c>
    </row>
    <row r="165" spans="1:13" x14ac:dyDescent="0.25">
      <c r="A165" s="39" t="s">
        <v>99</v>
      </c>
      <c r="B165" s="121" t="s">
        <v>59</v>
      </c>
      <c r="C165" s="121" t="s">
        <v>138</v>
      </c>
      <c r="D165">
        <v>0.19096245075178908</v>
      </c>
      <c r="E165">
        <v>0.42108797850906643</v>
      </c>
      <c r="I165" t="str">
        <v>https://www.insee.fr/fr/statistiques/serie/010534654</v>
      </c>
      <c r="J165" t="str">
        <v>010534654</v>
      </c>
      <c r="K165" t="str">
        <v>Tubes, tuyaux, profilés creux et accessoires correspondants en acier</v>
      </c>
      <c r="L165">
        <v>0.28353140916808139</v>
      </c>
      <c r="M165">
        <v>0.45105566218809967</v>
      </c>
    </row>
    <row r="166" spans="1:13" x14ac:dyDescent="0.25">
      <c r="A166" s="39" t="s">
        <v>100</v>
      </c>
      <c r="B166" s="121" t="s">
        <v>60</v>
      </c>
      <c r="C166" s="121" t="s">
        <v>139</v>
      </c>
      <c r="D166">
        <v>7.0208728652751295E-2</v>
      </c>
      <c r="E166">
        <v>9.5145631067961034E-2</v>
      </c>
      <c r="I166" t="str">
        <v>https://www.insee.fr/fr/statistiques/serie/010534638</v>
      </c>
      <c r="J166" t="str">
        <v>010534638</v>
      </c>
      <c r="K166" t="str">
        <v>Tuiles, briques et produits de construction en terre cuite</v>
      </c>
      <c r="L166">
        <v>0.2649572649572649</v>
      </c>
      <c r="M166">
        <v>0.28944820909970947</v>
      </c>
    </row>
    <row r="167" spans="1:13" x14ac:dyDescent="0.25">
      <c r="A167" s="39" t="s">
        <v>101</v>
      </c>
      <c r="B167" s="121" t="s">
        <v>61</v>
      </c>
      <c r="C167" s="121" t="s">
        <v>140</v>
      </c>
      <c r="D167">
        <v>5.9728506787330327E-2</v>
      </c>
      <c r="E167">
        <v>7.6286764705882248E-2</v>
      </c>
      <c r="I167" t="str">
        <v>https://www.insee.fr/fr/statistiques/serie/010534642</v>
      </c>
      <c r="J167" t="str">
        <v>010534642</v>
      </c>
      <c r="K167" t="str">
        <v>Ciment, chaux et plâtre</v>
      </c>
      <c r="L167">
        <v>0.26320754716981143</v>
      </c>
      <c r="M167">
        <v>0.3140333660451422</v>
      </c>
    </row>
    <row r="168" spans="1:13" x14ac:dyDescent="0.25">
      <c r="A168" s="39" t="s">
        <v>102</v>
      </c>
      <c r="B168" s="121" t="s">
        <v>62</v>
      </c>
      <c r="C168" s="121" t="s">
        <v>141</v>
      </c>
      <c r="D168">
        <v>7.4439461883408109E-2</v>
      </c>
      <c r="E168">
        <v>0.10313075506445668</v>
      </c>
      <c r="I168" t="str">
        <v>https://www.insee.fr/fr/statistiques/serie/010534613</v>
      </c>
      <c r="J168" t="str">
        <v>010534613</v>
      </c>
      <c r="K168" t="str">
        <v>Autres produits explosifs</v>
      </c>
      <c r="L168">
        <v>0.24459358687546606</v>
      </c>
      <c r="M168">
        <v>0.49820466786355477</v>
      </c>
    </row>
    <row r="169" spans="1:13" x14ac:dyDescent="0.25">
      <c r="A169" s="223" t="s">
        <v>297</v>
      </c>
      <c r="B169" s="121" t="s">
        <v>296</v>
      </c>
      <c r="C169" s="121" t="s">
        <v>294</v>
      </c>
      <c r="D169">
        <v>2.8989979959919836</v>
      </c>
      <c r="E169">
        <v>21.260869565217387</v>
      </c>
      <c r="I169" t="str">
        <v>https://www.insee.fr/fr/statistiques/serie/010536462</v>
      </c>
      <c r="J169" t="str">
        <v>010536462</v>
      </c>
      <c r="K169" t="str">
        <v>Acier pour la construction</v>
      </c>
      <c r="L169">
        <v>0.23592630501535305</v>
      </c>
      <c r="M169">
        <v>1.2570093457943927</v>
      </c>
    </row>
    <row r="170" spans="1:13" x14ac:dyDescent="0.25">
      <c r="A170" s="39" t="s">
        <v>104</v>
      </c>
      <c r="B170" s="121" t="s">
        <v>64</v>
      </c>
      <c r="C170" s="121" t="s">
        <v>64</v>
      </c>
      <c r="D170">
        <v>0.37602544784865155</v>
      </c>
      <c r="E170">
        <v>0.92227498746189607</v>
      </c>
      <c r="I170" t="str">
        <v>https://www.insee.fr/fr/statistiques/serie/010534662</v>
      </c>
      <c r="J170" t="str">
        <v>010534662</v>
      </c>
      <c r="K170" t="str">
        <v>Travaux de fonderie de fonte</v>
      </c>
      <c r="L170">
        <v>0.22586872586872597</v>
      </c>
      <c r="M170">
        <v>0.34533898305084731</v>
      </c>
    </row>
    <row r="171" spans="1:13" x14ac:dyDescent="0.25">
      <c r="A171" s="39" t="s">
        <v>105</v>
      </c>
      <c r="B171" s="121" t="s">
        <v>65</v>
      </c>
      <c r="C171" s="121" t="s">
        <v>142</v>
      </c>
      <c r="D171">
        <v>9.9675850891409956E-2</v>
      </c>
      <c r="E171">
        <v>0.39465570400822192</v>
      </c>
      <c r="I171" t="str">
        <v>https://www.insee.fr/fr/statistiques/serie/010534598</v>
      </c>
      <c r="J171" t="str">
        <v>010534598</v>
      </c>
      <c r="K171" t="str">
        <v>Bitume</v>
      </c>
      <c r="L171">
        <v>0.22580645161290325</v>
      </c>
      <c r="M171">
        <v>0.4922861150070128</v>
      </c>
    </row>
    <row r="172" spans="1:13" x14ac:dyDescent="0.25">
      <c r="A172" s="39" t="s">
        <v>106</v>
      </c>
      <c r="B172" s="121" t="s">
        <v>66</v>
      </c>
      <c r="C172" s="121" t="s">
        <v>143</v>
      </c>
      <c r="D172">
        <v>0.16970138383102684</v>
      </c>
      <c r="E172">
        <v>0.50233863423760505</v>
      </c>
      <c r="I172" t="str">
        <v>https://www.insee.fr/fr/statistiques/serie/010534267</v>
      </c>
      <c r="J172" t="str">
        <v>010534267</v>
      </c>
      <c r="K172" t="str">
        <v>Produits sidérurgiques en acier non allié</v>
      </c>
      <c r="L172">
        <v>0.22533333333333339</v>
      </c>
      <c r="M172">
        <v>0.76222435282837986</v>
      </c>
    </row>
    <row r="173" spans="1:13" x14ac:dyDescent="0.25">
      <c r="A173" s="39" t="s">
        <v>107</v>
      </c>
      <c r="B173" s="121" t="s">
        <v>67</v>
      </c>
      <c r="C173" s="121" t="s">
        <v>144</v>
      </c>
      <c r="D173">
        <v>8.6255924170616005E-2</v>
      </c>
      <c r="E173">
        <v>7.6056338028168913E-2</v>
      </c>
      <c r="I173" t="str">
        <v>https://www.insee.fr/fr/statistiques/serie/010534606</v>
      </c>
      <c r="J173" t="str">
        <v>010534606</v>
      </c>
      <c r="K173" t="str">
        <v>Matières plastiques sous formes primaires</v>
      </c>
      <c r="L173">
        <v>0.20467836257309946</v>
      </c>
      <c r="M173">
        <v>0.82300884955752207</v>
      </c>
    </row>
    <row r="174" spans="1:13" x14ac:dyDescent="0.25">
      <c r="A174" s="39" t="s">
        <v>108</v>
      </c>
      <c r="B174" s="121" t="s">
        <v>68</v>
      </c>
      <c r="C174" s="121" t="s">
        <v>145</v>
      </c>
      <c r="D174">
        <v>0.1652262328418912</v>
      </c>
      <c r="E174">
        <v>1.1124423963133641</v>
      </c>
      <c r="I174" t="str">
        <v>https://www.insee.fr/fr/statistiques/serie/001764283</v>
      </c>
      <c r="J174" t="str">
        <v>001764283</v>
      </c>
      <c r="K174" t="str">
        <v>Gazole</v>
      </c>
      <c r="L174">
        <v>0.19096245075178908</v>
      </c>
      <c r="M174">
        <v>0.42108797850906643</v>
      </c>
    </row>
    <row r="175" spans="1:13" x14ac:dyDescent="0.25">
      <c r="A175" s="39" t="s">
        <v>109</v>
      </c>
      <c r="B175" s="121" t="s">
        <v>69</v>
      </c>
      <c r="C175" s="121" t="s">
        <v>146</v>
      </c>
      <c r="D175">
        <v>6.0229445506692292E-2</v>
      </c>
      <c r="E175">
        <v>7.5654704170708076E-2</v>
      </c>
      <c r="I175" t="str">
        <v>https://www.insee.fr/fr/statistiques/serie/010534575</v>
      </c>
      <c r="J175" t="str">
        <v>010534575</v>
      </c>
      <c r="K175" t="str">
        <v>Ensemble des produits du sciage</v>
      </c>
      <c r="L175">
        <v>0.16970138383102684</v>
      </c>
      <c r="M175">
        <v>0.50233863423760505</v>
      </c>
    </row>
    <row r="176" spans="1:13" x14ac:dyDescent="0.25">
      <c r="A176" s="39" t="s">
        <v>110</v>
      </c>
      <c r="B176" s="121" t="s">
        <v>70</v>
      </c>
      <c r="C176" s="121" t="s">
        <v>147</v>
      </c>
      <c r="D176">
        <v>0.13256006628003303</v>
      </c>
      <c r="E176">
        <v>0.43894736842105253</v>
      </c>
      <c r="I176" t="str">
        <v>https://www.insee.fr/fr/statistiques/serie/010546545</v>
      </c>
      <c r="J176" t="str">
        <v>010546545</v>
      </c>
      <c r="K176" t="str">
        <v>Barres crénelées ou nervurées pour béton armé</v>
      </c>
      <c r="L176">
        <v>0.1652262328418912</v>
      </c>
      <c r="M176">
        <v>1.1124423963133641</v>
      </c>
    </row>
    <row r="177" spans="1:13" x14ac:dyDescent="0.25">
      <c r="A177" s="39" t="s">
        <v>111</v>
      </c>
      <c r="B177" s="121" t="s">
        <v>71</v>
      </c>
      <c r="C177" s="121" t="s">
        <v>148</v>
      </c>
      <c r="D177">
        <v>0.26320754716981143</v>
      </c>
      <c r="E177">
        <v>0.3140333660451422</v>
      </c>
      <c r="I177" t="str">
        <v>https://www.insee.fr/fr/statistiques/serie/010534330</v>
      </c>
      <c r="J177" t="str">
        <v>010534330</v>
      </c>
      <c r="K177" t="str">
        <v>Fils et câbles d'énergie</v>
      </c>
      <c r="L177">
        <v>0.15403225806451615</v>
      </c>
      <c r="M177">
        <v>0.49373695198329859</v>
      </c>
    </row>
    <row r="178" spans="1:13" x14ac:dyDescent="0.25">
      <c r="A178" s="39" t="s">
        <v>285</v>
      </c>
      <c r="B178" s="94" t="s">
        <v>284</v>
      </c>
      <c r="C178" s="121" t="s">
        <v>287</v>
      </c>
      <c r="D178">
        <v>0.24459358687546606</v>
      </c>
      <c r="E178">
        <v>0.49820466786355477</v>
      </c>
      <c r="I178" t="str">
        <v>https://www.insee.fr/fr/statistiques/serie/010534645</v>
      </c>
      <c r="J178" t="str">
        <v>010534645</v>
      </c>
      <c r="K178" t="str">
        <v>Éléments en béton pour la construction</v>
      </c>
      <c r="L178">
        <v>0.13597733711048154</v>
      </c>
      <c r="M178">
        <v>0.1656976744186045</v>
      </c>
    </row>
    <row r="179" spans="1:13" x14ac:dyDescent="0.25">
      <c r="A179" s="39" t="s">
        <v>112</v>
      </c>
      <c r="B179" s="121" t="s">
        <v>73</v>
      </c>
      <c r="C179" s="121" t="s">
        <v>149</v>
      </c>
      <c r="D179">
        <v>0.23592630501535305</v>
      </c>
      <c r="E179">
        <v>1.2570093457943927</v>
      </c>
      <c r="I179" t="str">
        <v>https://www.insee.fr/fr/statistiques/serie/010534625</v>
      </c>
      <c r="J179" t="str">
        <v>010534625</v>
      </c>
      <c r="K179" t="str">
        <v>Plaques, feuilles, tubes et profilés en matières plastiques</v>
      </c>
      <c r="L179">
        <v>0.13256006628003303</v>
      </c>
      <c r="M179">
        <v>0.43894736842105253</v>
      </c>
    </row>
    <row r="180" spans="1:13" x14ac:dyDescent="0.25">
      <c r="A180" s="39" t="s">
        <v>113</v>
      </c>
      <c r="B180" s="121" t="s">
        <v>74</v>
      </c>
      <c r="C180" s="121" t="s">
        <v>150</v>
      </c>
      <c r="D180">
        <v>0.22580645161290325</v>
      </c>
      <c r="E180">
        <v>0.4922861150070128</v>
      </c>
      <c r="I180" t="str">
        <v>https://www.insee.fr/fr/statistiques/serie/010534667</v>
      </c>
      <c r="J180" t="str">
        <v>010534667</v>
      </c>
      <c r="K180" t="str">
        <v>Éléments en métal pour la construction</v>
      </c>
      <c r="L180">
        <v>0.11367380560131779</v>
      </c>
      <c r="M180">
        <v>0.23245214220601618</v>
      </c>
    </row>
    <row r="181" spans="1:13" x14ac:dyDescent="0.25">
      <c r="A181" s="39" t="s">
        <v>114</v>
      </c>
      <c r="B181" s="121" t="s">
        <v>75</v>
      </c>
      <c r="C181" s="121" t="s">
        <v>151</v>
      </c>
      <c r="D181">
        <v>8.3636363636363731E-2</v>
      </c>
      <c r="E181">
        <v>0.13523809523809516</v>
      </c>
      <c r="I181" t="str">
        <v>https://www.insee.fr/fr/statistiques/serie/010760506</v>
      </c>
      <c r="J181" t="str">
        <v>010760506</v>
      </c>
      <c r="K181" t="str">
        <v>Réseaux d’assainissement</v>
      </c>
      <c r="L181">
        <v>0.10948530721282279</v>
      </c>
      <c r="M181">
        <v>0.21201556420233469</v>
      </c>
    </row>
    <row r="182" spans="1:13" x14ac:dyDescent="0.25">
      <c r="A182" s="39" t="s">
        <v>115</v>
      </c>
      <c r="B182" s="121" t="s">
        <v>76</v>
      </c>
      <c r="C182" s="121" t="s">
        <v>152</v>
      </c>
      <c r="D182">
        <v>8.3333333333333259E-2</v>
      </c>
      <c r="E182">
        <v>0.11354581673306763</v>
      </c>
      <c r="I182" t="str">
        <v>https://www.insee.fr/fr/statistiques/serie/010534696</v>
      </c>
      <c r="J182" t="str">
        <v>010534696</v>
      </c>
      <c r="K182" t="str">
        <v>Moteurs, génératrices, transfo. électr., matér. distrib., cmde électr.</v>
      </c>
      <c r="L182">
        <v>0.10065851364063971</v>
      </c>
      <c r="M182">
        <v>0.12608277189605377</v>
      </c>
    </row>
    <row r="183" spans="1:13" x14ac:dyDescent="0.25">
      <c r="A183" s="39" t="s">
        <v>116</v>
      </c>
      <c r="B183" s="121" t="s">
        <v>77</v>
      </c>
      <c r="C183" s="121" t="s">
        <v>153</v>
      </c>
      <c r="D183">
        <v>0.22586872586872597</v>
      </c>
      <c r="E183">
        <v>0.34533898305084731</v>
      </c>
      <c r="I183" t="str">
        <v>https://www.insee.fr/fr/statistiques/serie/010534207</v>
      </c>
      <c r="J183" t="str">
        <v>010534207</v>
      </c>
      <c r="K183" t="str">
        <v>Tubes, tuyaux en matière plastique</v>
      </c>
      <c r="L183">
        <v>9.9675850891409956E-2</v>
      </c>
      <c r="M183">
        <v>0.39465570400822192</v>
      </c>
    </row>
    <row r="184" spans="1:13" x14ac:dyDescent="0.25">
      <c r="A184" s="39" t="s">
        <v>117</v>
      </c>
      <c r="B184" s="121" t="s">
        <v>78</v>
      </c>
      <c r="C184" s="121" t="s">
        <v>154</v>
      </c>
      <c r="D184">
        <v>0.2649572649572649</v>
      </c>
      <c r="E184">
        <v>0.28944820909970947</v>
      </c>
      <c r="I184" t="str">
        <v>https://www.insee.fr/fr/statistiques/serie/010534698</v>
      </c>
      <c r="J184" t="str">
        <v>010534698</v>
      </c>
      <c r="K184" t="str">
        <v>Matériel de distribution et de commande électrique</v>
      </c>
      <c r="L184">
        <v>9.3632958801498134E-2</v>
      </c>
      <c r="M184">
        <v>0.11450381679389321</v>
      </c>
    </row>
    <row r="185" spans="1:13" x14ac:dyDescent="0.25">
      <c r="A185" s="39" t="s">
        <v>299</v>
      </c>
      <c r="B185" s="228" t="s">
        <v>300</v>
      </c>
      <c r="C185" s="224" t="s">
        <v>298</v>
      </c>
      <c r="D185">
        <v>0.10948530721282279</v>
      </c>
      <c r="E185">
        <v>0.21201556420233469</v>
      </c>
      <c r="I185" t="str">
        <v>https://www.insee.fr/fr/statistiques/serie/010534646</v>
      </c>
      <c r="J185" t="str">
        <v>010534646</v>
      </c>
      <c r="K185" t="str">
        <v>Béton prêt à l'emploi</v>
      </c>
      <c r="L185">
        <v>8.6255924170616005E-2</v>
      </c>
      <c r="M185">
        <v>7.6056338028168913E-2</v>
      </c>
    </row>
    <row r="186" spans="1:13" x14ac:dyDescent="0.25">
      <c r="A186" s="39" t="s">
        <v>289</v>
      </c>
      <c r="B186" s="94" t="s">
        <v>290</v>
      </c>
      <c r="C186" s="121" t="s">
        <v>291</v>
      </c>
      <c r="D186">
        <v>6.9557362240289189E-2</v>
      </c>
      <c r="E186">
        <v>0.11069418386491559</v>
      </c>
      <c r="I186" t="str">
        <v>https://www.insee.fr/fr/statistiques/serie/010534252</v>
      </c>
      <c r="J186" t="str">
        <v>010534252</v>
      </c>
      <c r="K186" t="str">
        <v>Produits de voierie en béton</v>
      </c>
      <c r="L186">
        <v>8.3636363636363731E-2</v>
      </c>
      <c r="M186">
        <v>0.13523809523809516</v>
      </c>
    </row>
    <row r="187" spans="1:13" x14ac:dyDescent="0.25">
      <c r="A187" s="39" t="s">
        <v>119</v>
      </c>
      <c r="B187" s="121" t="s">
        <v>81</v>
      </c>
      <c r="C187" s="121" t="s">
        <v>156</v>
      </c>
      <c r="D187">
        <v>0.20467836257309946</v>
      </c>
      <c r="E187">
        <v>0.82300884955752207</v>
      </c>
      <c r="I187" t="str">
        <v>https://www.insee.fr/fr/statistiques/serie/010534647</v>
      </c>
      <c r="J187" t="str">
        <v>010534647</v>
      </c>
      <c r="K187" t="str">
        <v>Mortiers et bétons secs</v>
      </c>
      <c r="L187">
        <v>8.3333333333333259E-2</v>
      </c>
      <c r="M187">
        <v>0.11354581673306763</v>
      </c>
    </row>
    <row r="188" spans="1:13" x14ac:dyDescent="0.25">
      <c r="A188" s="39" t="s">
        <v>120</v>
      </c>
      <c r="B188" s="121" t="s">
        <v>82</v>
      </c>
      <c r="C188" s="121" t="s">
        <v>157</v>
      </c>
      <c r="D188">
        <v>0.28353140916808139</v>
      </c>
      <c r="E188">
        <v>0.45105566218809967</v>
      </c>
      <c r="I188" t="str">
        <v>https://www.insee.fr/fr/statistiques/serie/010534789</v>
      </c>
      <c r="J188" t="str">
        <v>010534789</v>
      </c>
      <c r="K188" t="str">
        <v>Traitement et élimination des déchets non dangereux</v>
      </c>
      <c r="L188">
        <v>7.8680203045685237E-2</v>
      </c>
      <c r="M188">
        <v>0.1476147614761476</v>
      </c>
    </row>
    <row r="189" spans="1:13" x14ac:dyDescent="0.25">
      <c r="A189" s="39" t="s">
        <v>121</v>
      </c>
      <c r="B189" s="121" t="s">
        <v>83</v>
      </c>
      <c r="C189" s="121" t="s">
        <v>158</v>
      </c>
      <c r="D189">
        <v>0.13597733711048154</v>
      </c>
      <c r="E189">
        <v>0.1656976744186045</v>
      </c>
      <c r="I189" t="str">
        <v>https://www.insee.fr/fr/statistiques/serie/001711009</v>
      </c>
      <c r="J189" t="str">
        <v>001711009</v>
      </c>
      <c r="K189" t="str">
        <v>Matériel</v>
      </c>
      <c r="L189">
        <v>7.8268876611418126E-2</v>
      </c>
      <c r="M189">
        <v>0.12164750957854387</v>
      </c>
    </row>
    <row r="190" spans="1:13" x14ac:dyDescent="0.25">
      <c r="A190" s="39" t="s">
        <v>122</v>
      </c>
      <c r="B190" s="121" t="s">
        <v>84</v>
      </c>
      <c r="C190" s="121" t="s">
        <v>159</v>
      </c>
      <c r="D190">
        <v>0.15403225806451615</v>
      </c>
      <c r="E190">
        <v>0.49373695198329859</v>
      </c>
      <c r="I190" t="str">
        <v>https://www.insee.fr/fr/statistiques/serie/010534769</v>
      </c>
      <c r="J190" t="str">
        <v>010534769</v>
      </c>
      <c r="K190" t="str">
        <v>Électricité vendue aux entreprises consommatrices finales</v>
      </c>
      <c r="L190">
        <v>7.4439461883408109E-2</v>
      </c>
      <c r="M190">
        <v>0.10313075506445668</v>
      </c>
    </row>
    <row r="191" spans="1:13" x14ac:dyDescent="0.25">
      <c r="A191" s="39" t="s">
        <v>123</v>
      </c>
      <c r="B191" s="121" t="s">
        <v>85</v>
      </c>
      <c r="C191" s="121" t="s">
        <v>160</v>
      </c>
      <c r="D191">
        <v>0.10065851364063971</v>
      </c>
      <c r="E191">
        <v>0.12608277189605377</v>
      </c>
      <c r="I191" t="str">
        <v>https://www.insee.fr/fr/statistiques/serie/001711011</v>
      </c>
      <c r="J191" t="str">
        <v>001711011</v>
      </c>
      <c r="K191" t="str">
        <v>Frais divers</v>
      </c>
      <c r="L191">
        <v>7.0208728652751295E-2</v>
      </c>
      <c r="M191">
        <v>9.5145631067961034E-2</v>
      </c>
    </row>
    <row r="192" spans="1:13" x14ac:dyDescent="0.25">
      <c r="A192" s="39" t="s">
        <v>124</v>
      </c>
      <c r="B192" s="121" t="s">
        <v>86</v>
      </c>
      <c r="C192" s="121" t="s">
        <v>161</v>
      </c>
      <c r="D192">
        <v>9.3632958801498134E-2</v>
      </c>
      <c r="E192">
        <v>0.11450381679389321</v>
      </c>
      <c r="I192" t="str">
        <v>https://www.insee.fr/fr/statistiques/serie/010534554</v>
      </c>
      <c r="J192" t="str">
        <v>010534554</v>
      </c>
      <c r="K192" t="str">
        <v>Autres textiles</v>
      </c>
      <c r="L192">
        <v>6.9557362240289189E-2</v>
      </c>
      <c r="M192">
        <v>0.11069418386491559</v>
      </c>
    </row>
    <row r="193" spans="1:44" x14ac:dyDescent="0.25">
      <c r="A193" s="39" t="s">
        <v>125</v>
      </c>
      <c r="B193" s="121" t="s">
        <v>87</v>
      </c>
      <c r="C193" s="121" t="s">
        <v>162</v>
      </c>
      <c r="D193">
        <v>6.7357512953367893E-2</v>
      </c>
      <c r="E193">
        <v>4.674796747967469E-2</v>
      </c>
      <c r="I193" t="str">
        <v>https://www.insee.fr/fr/statistiques/serie/010534702</v>
      </c>
      <c r="J193" t="str">
        <v>010534702</v>
      </c>
      <c r="K193" t="str">
        <v>Appareils d'éclairage électrique</v>
      </c>
      <c r="L193">
        <v>6.7357512953367893E-2</v>
      </c>
      <c r="M193">
        <v>4.674796747967469E-2</v>
      </c>
    </row>
    <row r="194" spans="1:44" x14ac:dyDescent="0.25">
      <c r="A194" s="39" t="s">
        <v>126</v>
      </c>
      <c r="B194" s="121" t="s">
        <v>88</v>
      </c>
      <c r="C194" s="121" t="s">
        <v>163</v>
      </c>
      <c r="D194">
        <v>2.34375E-2</v>
      </c>
      <c r="E194">
        <v>-1.0387157695939675E-2</v>
      </c>
      <c r="I194" t="str">
        <v>https://www.insee.fr/fr/statistiques/serie/010536067</v>
      </c>
      <c r="J194" t="str">
        <v>010536067</v>
      </c>
      <c r="K194" t="str">
        <v>Sables et granulats</v>
      </c>
      <c r="L194">
        <v>6.0229445506692292E-2</v>
      </c>
      <c r="M194">
        <v>7.5654704170708076E-2</v>
      </c>
    </row>
    <row r="195" spans="1:44" x14ac:dyDescent="0.25">
      <c r="A195" s="39" t="s">
        <v>127</v>
      </c>
      <c r="B195" s="121" t="s">
        <v>89</v>
      </c>
      <c r="C195" s="121" t="s">
        <v>164</v>
      </c>
      <c r="D195">
        <v>0.2872788542544229</v>
      </c>
      <c r="E195">
        <v>0.35221238938053112</v>
      </c>
      <c r="I195" t="str">
        <v>https://www.insee.fr/fr/statistiques/serie/001711943</v>
      </c>
      <c r="J195" t="str">
        <v>001711943</v>
      </c>
      <c r="K195" t="str">
        <v>Transports routiers</v>
      </c>
      <c r="L195">
        <v>5.9728506787330327E-2</v>
      </c>
      <c r="M195">
        <v>7.6286764705882248E-2</v>
      </c>
    </row>
    <row r="196" spans="1:44" x14ac:dyDescent="0.25">
      <c r="A196" s="39" t="s">
        <v>128</v>
      </c>
      <c r="B196" s="121" t="s">
        <v>90</v>
      </c>
      <c r="C196" s="121" t="s">
        <v>165</v>
      </c>
      <c r="D196">
        <v>0.22533333333333339</v>
      </c>
      <c r="E196">
        <v>0.76222435282837986</v>
      </c>
      <c r="I196" t="str">
        <v>https://www.insee.fr/fr/statistiques/serie/010534784</v>
      </c>
      <c r="J196" t="str">
        <v>010534784</v>
      </c>
      <c r="K196" t="str">
        <v>Collecte, traitement et élimination des déchets ; récupération de matériaux</v>
      </c>
      <c r="L196">
        <v>5.5915721231766691E-2</v>
      </c>
      <c r="M196">
        <v>0.28882294757665705</v>
      </c>
    </row>
    <row r="197" spans="1:44" x14ac:dyDescent="0.25">
      <c r="A197" s="39" t="s">
        <v>129</v>
      </c>
      <c r="B197" s="121" t="s">
        <v>91</v>
      </c>
      <c r="C197" s="121" t="s">
        <v>166</v>
      </c>
      <c r="D197">
        <v>-5.957683741648101E-2</v>
      </c>
      <c r="E197">
        <v>0.86218302094818089</v>
      </c>
      <c r="I197" t="str">
        <v>https://www.insee.fr/fr/statistiques/serie/001763781</v>
      </c>
      <c r="J197" t="str">
        <v>001763781</v>
      </c>
      <c r="K197" t="str">
        <v>Restaurants et hôtels</v>
      </c>
      <c r="L197">
        <v>4.4632306153985946E-2</v>
      </c>
      <c r="M197">
        <v>6.3483250046270534E-2</v>
      </c>
    </row>
    <row r="198" spans="1:44" x14ac:dyDescent="0.25">
      <c r="A198" s="39" t="s">
        <v>130</v>
      </c>
      <c r="B198" s="121" t="s">
        <v>92</v>
      </c>
      <c r="C198" s="121" t="s">
        <v>167</v>
      </c>
      <c r="D198">
        <v>0.11367380560131779</v>
      </c>
      <c r="E198">
        <v>0.23245214220601618</v>
      </c>
      <c r="I198" t="str">
        <v>https://www.insee.fr/fr/statistiques/serie/010535345</v>
      </c>
      <c r="J198" t="str">
        <v>010535345</v>
      </c>
      <c r="K198" t="str">
        <v>Câbles de fibres optiques</v>
      </c>
      <c r="L198">
        <v>2.34375E-2</v>
      </c>
      <c r="M198">
        <v>-1.0387157695939675E-2</v>
      </c>
    </row>
    <row r="199" spans="1:44" x14ac:dyDescent="0.25">
      <c r="A199" s="39" t="s">
        <v>131</v>
      </c>
      <c r="B199" s="121" t="s">
        <v>93</v>
      </c>
      <c r="C199" s="121" t="s">
        <v>168</v>
      </c>
      <c r="D199">
        <v>4.4632306153985946E-2</v>
      </c>
      <c r="E199">
        <v>6.3483250046270534E-2</v>
      </c>
      <c r="I199" t="str">
        <v>https://www.insee.fr/fr/statistiques/serie/001565195</v>
      </c>
      <c r="J199" t="str">
        <v>001565195</v>
      </c>
      <c r="K199" t="str">
        <v>Travail activités spécialisées</v>
      </c>
      <c r="L199">
        <v>1.9496344435418367E-2</v>
      </c>
      <c r="M199">
        <v>2.3654159869494373E-2</v>
      </c>
    </row>
    <row r="200" spans="1:44" x14ac:dyDescent="0.25">
      <c r="A200" s="39" t="s">
        <v>132</v>
      </c>
      <c r="B200" s="121" t="s">
        <v>94</v>
      </c>
      <c r="C200" s="121" t="s">
        <v>169</v>
      </c>
      <c r="D200">
        <v>7.8680203045685237E-2</v>
      </c>
      <c r="E200">
        <v>0.1476147614761476</v>
      </c>
      <c r="I200" t="str">
        <v>https://www.insee.fr/fr/statistiques/6020697</v>
      </c>
      <c r="J200" t="str">
        <v>5540998</v>
      </c>
      <c r="K200" t="str">
        <v>Travail</v>
      </c>
      <c r="L200">
        <v>8.1499592502036755E-3</v>
      </c>
      <c r="M200">
        <v>8.0906148867310179E-4</v>
      </c>
    </row>
    <row r="201" spans="1:44" x14ac:dyDescent="0.25">
      <c r="A201" s="39" t="s">
        <v>133</v>
      </c>
      <c r="B201" s="121" t="s">
        <v>95</v>
      </c>
      <c r="C201" s="121" t="s">
        <v>170</v>
      </c>
      <c r="D201">
        <v>5.5915721231766691E-2</v>
      </c>
      <c r="E201">
        <v>0.28882294757665705</v>
      </c>
      <c r="I201" t="str">
        <v>https://www.insee.fr/fr/statistiques/serie/010536480</v>
      </c>
      <c r="J201" t="str">
        <v>010536480</v>
      </c>
      <c r="K201" t="str">
        <v>Tôles quarto et autres produits plats en aciers non alliés de qualité</v>
      </c>
      <c r="L201">
        <v>-5.957683741648101E-2</v>
      </c>
      <c r="M201">
        <v>0.86218302094818089</v>
      </c>
    </row>
    <row r="204" spans="1:44" x14ac:dyDescent="0.25">
      <c r="C204" t="str">
        <f>'A MODIFIER'!E15</f>
        <v>*/septembre 2021</v>
      </c>
      <c r="D204">
        <f>('CUMULS INDICES'!B116/'CUMULS INDICES'!B131)-1</f>
        <v>7.8268876611418126E-2</v>
      </c>
      <c r="E204" s="121">
        <f>('CUMULS INDICES'!C116/'CUMULS INDICES'!C131)-1</f>
        <v>8.1499592502036755E-3</v>
      </c>
      <c r="F204" s="121">
        <f>('CUMULS INDICES'!D116/'CUMULS INDICES'!D131)-1</f>
        <v>1.9496344435418367E-2</v>
      </c>
      <c r="G204" s="121">
        <f>('CUMULS INDICES'!E116/'CUMULS INDICES'!E131)-1</f>
        <v>0.34846054532153681</v>
      </c>
      <c r="H204" s="121">
        <f>('CUMULS INDICES'!F116/'CUMULS INDICES'!F131)-1</f>
        <v>0.19096245075178908</v>
      </c>
      <c r="I204" s="121">
        <f>('CUMULS INDICES'!G116/'CUMULS INDICES'!G131)-1</f>
        <v>7.0208728652751295E-2</v>
      </c>
      <c r="J204" s="121">
        <f>('CUMULS INDICES'!H116/'CUMULS INDICES'!H131)-1</f>
        <v>5.9728506787330327E-2</v>
      </c>
      <c r="K204" s="121">
        <f>('CUMULS INDICES'!I116/'CUMULS INDICES'!I131)-1</f>
        <v>7.4439461883408109E-2</v>
      </c>
      <c r="L204" s="121">
        <f>('CUMULS INDICES'!J116/'CUMULS INDICES'!J131)-1</f>
        <v>2.8989979959919836</v>
      </c>
      <c r="M204" s="121">
        <f>('CUMULS INDICES'!K116/'CUMULS INDICES'!K131)-1</f>
        <v>0.37602544784865155</v>
      </c>
      <c r="N204" s="121">
        <f>('CUMULS INDICES'!L116/'CUMULS INDICES'!L131)-1</f>
        <v>9.9675850891409956E-2</v>
      </c>
      <c r="O204" s="121">
        <f>('CUMULS INDICES'!M116/'CUMULS INDICES'!M131)-1</f>
        <v>0.16970138383102684</v>
      </c>
      <c r="P204" s="121">
        <f>('CUMULS INDICES'!N116/'CUMULS INDICES'!N131)-1</f>
        <v>8.6255924170616005E-2</v>
      </c>
      <c r="Q204" s="121">
        <f>('CUMULS INDICES'!O116/'CUMULS INDICES'!O131)-1</f>
        <v>0.1652262328418912</v>
      </c>
      <c r="R204" s="121">
        <f>('CUMULS INDICES'!P116/'CUMULS INDICES'!P131)-1</f>
        <v>6.0229445506692292E-2</v>
      </c>
      <c r="S204" s="121">
        <f>('CUMULS INDICES'!Q116/'CUMULS INDICES'!Q131)-1</f>
        <v>0.13256006628003303</v>
      </c>
      <c r="T204" s="121">
        <f>('CUMULS INDICES'!R116/'CUMULS INDICES'!R131)-1</f>
        <v>0.26320754716981143</v>
      </c>
      <c r="U204" s="121">
        <f>('CUMULS INDICES'!S116/'CUMULS INDICES'!S131)-1</f>
        <v>0.24459358687546606</v>
      </c>
      <c r="V204" s="121">
        <f>('CUMULS INDICES'!T116/'CUMULS INDICES'!T131)-1</f>
        <v>0.23592630501535305</v>
      </c>
      <c r="W204" s="121">
        <f>('CUMULS INDICES'!U116/'CUMULS INDICES'!U131)-1</f>
        <v>0.22580645161290325</v>
      </c>
      <c r="X204" s="121">
        <f>('CUMULS INDICES'!V116/'CUMULS INDICES'!V131)-1</f>
        <v>8.3636363636363731E-2</v>
      </c>
      <c r="Y204" s="121">
        <f>('CUMULS INDICES'!W116/'CUMULS INDICES'!W131)-1</f>
        <v>8.3333333333333259E-2</v>
      </c>
      <c r="Z204" s="121">
        <f>('CUMULS INDICES'!X116/'CUMULS INDICES'!X131)-1</f>
        <v>0.22586872586872597</v>
      </c>
      <c r="AA204" s="121">
        <f>('CUMULS INDICES'!Y116/'CUMULS INDICES'!Y131)-1</f>
        <v>0.2649572649572649</v>
      </c>
      <c r="AB204" s="121">
        <f>('CUMULS INDICES'!Z116/'CUMULS INDICES'!Z131)-1</f>
        <v>0.10948530721282279</v>
      </c>
      <c r="AC204" s="121">
        <f>('CUMULS INDICES'!AA116/'CUMULS INDICES'!AA131)-1</f>
        <v>6.9557362240289189E-2</v>
      </c>
      <c r="AD204" s="121">
        <f>('CUMULS INDICES'!AB116/'CUMULS INDICES'!AB131)-1</f>
        <v>0.20467836257309946</v>
      </c>
      <c r="AE204" s="121">
        <f>('CUMULS INDICES'!AC116/'CUMULS INDICES'!AC131)-1</f>
        <v>0.28353140916808139</v>
      </c>
      <c r="AF204" s="121">
        <f>('CUMULS INDICES'!AD116/'CUMULS INDICES'!AD131)-1</f>
        <v>0.13597733711048154</v>
      </c>
      <c r="AG204" s="121">
        <f>('CUMULS INDICES'!AE116/'CUMULS INDICES'!AE131)-1</f>
        <v>0.15403225806451615</v>
      </c>
      <c r="AH204" s="121">
        <f>('CUMULS INDICES'!AF116/'CUMULS INDICES'!AF131)-1</f>
        <v>0.10065851364063971</v>
      </c>
      <c r="AI204" s="121">
        <f>('CUMULS INDICES'!AG116/'CUMULS INDICES'!AG131)-1</f>
        <v>9.3632958801498134E-2</v>
      </c>
      <c r="AJ204" s="121">
        <f>('CUMULS INDICES'!AH116/'CUMULS INDICES'!AH131)-1</f>
        <v>6.7357512953367893E-2</v>
      </c>
      <c r="AK204" s="121">
        <f>('CUMULS INDICES'!AI116/'CUMULS INDICES'!AI131)-1</f>
        <v>2.34375E-2</v>
      </c>
      <c r="AL204" s="121">
        <f>('CUMULS INDICES'!AJ116/'CUMULS INDICES'!AJ131)-1</f>
        <v>0.2872788542544229</v>
      </c>
      <c r="AM204" s="121">
        <f>('CUMULS INDICES'!AK116/'CUMULS INDICES'!AK131)-1</f>
        <v>0.22533333333333339</v>
      </c>
      <c r="AN204" s="121">
        <f>('CUMULS INDICES'!AL116/'CUMULS INDICES'!AL131)-1</f>
        <v>-5.957683741648101E-2</v>
      </c>
      <c r="AO204" s="121">
        <f>('CUMULS INDICES'!AM116/'CUMULS INDICES'!AM131)-1</f>
        <v>0.11367380560131779</v>
      </c>
      <c r="AP204" s="121">
        <f>('CUMULS INDICES'!AN116/'CUMULS INDICES'!AN131)-1</f>
        <v>4.4632306153985946E-2</v>
      </c>
      <c r="AQ204" s="121">
        <f>('CUMULS INDICES'!AO116/'CUMULS INDICES'!AO131)-1</f>
        <v>7.8680203045685237E-2</v>
      </c>
      <c r="AR204" s="121">
        <f>('CUMULS INDICES'!AP116/'CUMULS INDICES'!AP131)-1</f>
        <v>5.5915721231766691E-2</v>
      </c>
    </row>
    <row r="205" spans="1:44" x14ac:dyDescent="0.25">
      <c r="C205" s="121" t="str">
        <f>'A MODIFIER'!E16</f>
        <v>*/septembre 2020</v>
      </c>
      <c r="D205">
        <f>('CUMULS INDICES'!B116/'CUMULS INDICES'!B146)-1</f>
        <v>0.12164750957854387</v>
      </c>
      <c r="E205" s="121">
        <f>('CUMULS INDICES'!C116/'CUMULS INDICES'!C146)-1</f>
        <v>8.0906148867310179E-4</v>
      </c>
      <c r="F205" s="121">
        <f>('CUMULS INDICES'!D116/'CUMULS INDICES'!D146)-1</f>
        <v>2.3654159869494373E-2</v>
      </c>
      <c r="G205" s="121">
        <f>('CUMULS INDICES'!E116/'CUMULS INDICES'!E146)-1</f>
        <v>0.86102171642295633</v>
      </c>
      <c r="H205" s="121">
        <f>('CUMULS INDICES'!F116/'CUMULS INDICES'!F146)-1</f>
        <v>0.42108797850906643</v>
      </c>
      <c r="I205" s="121">
        <f>('CUMULS INDICES'!G116/'CUMULS INDICES'!G146)-1</f>
        <v>9.5145631067961034E-2</v>
      </c>
      <c r="J205" s="121">
        <f>('CUMULS INDICES'!H116/'CUMULS INDICES'!H146)-1</f>
        <v>7.6286764705882248E-2</v>
      </c>
      <c r="K205" s="121">
        <f>('CUMULS INDICES'!I116/'CUMULS INDICES'!I146)-1</f>
        <v>0.10313075506445668</v>
      </c>
      <c r="L205" s="121">
        <f>('CUMULS INDICES'!J116/'CUMULS INDICES'!J146)-1</f>
        <v>21.260869565217387</v>
      </c>
      <c r="M205" s="121">
        <f>('CUMULS INDICES'!K116/'CUMULS INDICES'!K146)-1</f>
        <v>0.92227498746189607</v>
      </c>
      <c r="N205" s="121">
        <f>('CUMULS INDICES'!L116/'CUMULS INDICES'!L146)-1</f>
        <v>0.39465570400822192</v>
      </c>
      <c r="O205" s="121">
        <f>('CUMULS INDICES'!M116/'CUMULS INDICES'!M146)-1</f>
        <v>0.50233863423760505</v>
      </c>
      <c r="P205" s="121">
        <f>('CUMULS INDICES'!N116/'CUMULS INDICES'!N146)-1</f>
        <v>7.6056338028168913E-2</v>
      </c>
      <c r="Q205" s="121">
        <f>('CUMULS INDICES'!O116/'CUMULS INDICES'!O146)-1</f>
        <v>1.1124423963133641</v>
      </c>
      <c r="R205" s="121">
        <f>('CUMULS INDICES'!P116/'CUMULS INDICES'!P146)-1</f>
        <v>7.5654704170708076E-2</v>
      </c>
      <c r="S205" s="121">
        <f>('CUMULS INDICES'!Q116/'CUMULS INDICES'!Q146)-1</f>
        <v>0.43894736842105253</v>
      </c>
      <c r="T205" s="121">
        <f>('CUMULS INDICES'!R116/'CUMULS INDICES'!R146)-1</f>
        <v>0.3140333660451422</v>
      </c>
      <c r="U205" s="121">
        <f>('CUMULS INDICES'!S116/'CUMULS INDICES'!S146)-1</f>
        <v>0.49820466786355477</v>
      </c>
      <c r="V205" s="121">
        <f>('CUMULS INDICES'!T116/'CUMULS INDICES'!T146)-1</f>
        <v>1.2570093457943927</v>
      </c>
      <c r="W205" s="121">
        <f>('CUMULS INDICES'!U116/'CUMULS INDICES'!U146)-1</f>
        <v>0.4922861150070128</v>
      </c>
      <c r="X205" s="121">
        <f>('CUMULS INDICES'!V116/'CUMULS INDICES'!V146)-1</f>
        <v>0.13523809523809516</v>
      </c>
      <c r="Y205" s="121">
        <f>('CUMULS INDICES'!W116/'CUMULS INDICES'!W146)-1</f>
        <v>0.11354581673306763</v>
      </c>
      <c r="Z205" s="121">
        <f>('CUMULS INDICES'!X116/'CUMULS INDICES'!X146)-1</f>
        <v>0.34533898305084731</v>
      </c>
      <c r="AA205" s="121">
        <f>('CUMULS INDICES'!Y116/'CUMULS INDICES'!Y146)-1</f>
        <v>0.28944820909970947</v>
      </c>
      <c r="AB205" s="121">
        <f>('CUMULS INDICES'!Z116/'CUMULS INDICES'!Z146)-1</f>
        <v>0.21201556420233469</v>
      </c>
      <c r="AC205" s="121">
        <f>('CUMULS INDICES'!AA116/'CUMULS INDICES'!AA146)-1</f>
        <v>0.11069418386491559</v>
      </c>
      <c r="AD205" s="121">
        <f>('CUMULS INDICES'!AB116/'CUMULS INDICES'!AB146)-1</f>
        <v>0.82300884955752207</v>
      </c>
      <c r="AE205" s="121">
        <f>('CUMULS INDICES'!AC116/'CUMULS INDICES'!AC146)-1</f>
        <v>0.45105566218809967</v>
      </c>
      <c r="AF205" s="121">
        <f>('CUMULS INDICES'!AD116/'CUMULS INDICES'!AD146)-1</f>
        <v>0.1656976744186045</v>
      </c>
      <c r="AG205" s="121">
        <f>('CUMULS INDICES'!AE116/'CUMULS INDICES'!AE146)-1</f>
        <v>0.49373695198329859</v>
      </c>
      <c r="AH205" s="121">
        <f>('CUMULS INDICES'!AF116/'CUMULS INDICES'!AF146)-1</f>
        <v>0.12608277189605377</v>
      </c>
      <c r="AI205" s="121">
        <f>('CUMULS INDICES'!AG116/'CUMULS INDICES'!AG146)-1</f>
        <v>0.11450381679389321</v>
      </c>
      <c r="AJ205" s="121">
        <f>('CUMULS INDICES'!AH116/'CUMULS INDICES'!AH146)-1</f>
        <v>4.674796747967469E-2</v>
      </c>
      <c r="AK205" s="121">
        <f>('CUMULS INDICES'!AI116/'CUMULS INDICES'!AI146)-1</f>
        <v>-1.0387157695939675E-2</v>
      </c>
      <c r="AL205" s="121">
        <f>('CUMULS INDICES'!AJ116/'CUMULS INDICES'!AJ146)-1</f>
        <v>0.35221238938053112</v>
      </c>
      <c r="AM205" s="121">
        <f>('CUMULS INDICES'!AK116/'CUMULS INDICES'!AK146)-1</f>
        <v>0.76222435282837986</v>
      </c>
      <c r="AN205" s="121">
        <f>('CUMULS INDICES'!AL116/'CUMULS INDICES'!AL146)-1</f>
        <v>0.86218302094818089</v>
      </c>
      <c r="AO205" s="121">
        <f>('CUMULS INDICES'!AM116/'CUMULS INDICES'!AM146)-1</f>
        <v>0.23245214220601618</v>
      </c>
      <c r="AP205" s="121">
        <f>('CUMULS INDICES'!AN116/'CUMULS INDICES'!AN146)-1</f>
        <v>6.3483250046270534E-2</v>
      </c>
      <c r="AQ205" s="121">
        <f>('CUMULS INDICES'!AO116/'CUMULS INDICES'!AO146)-1</f>
        <v>0.1476147614761476</v>
      </c>
      <c r="AR205" s="121">
        <f>('CUMULS INDICES'!AP116/'CUMULS INDICES'!AP146)-1</f>
        <v>0.28882294757665705</v>
      </c>
    </row>
    <row r="210" spans="1:12" x14ac:dyDescent="0.25">
      <c r="A210" s="259" t="str">
        <f>"E. ÉVOLUTION A FIN "&amp;'A MODIFIER'!F4&amp;" PAR RAPPORT À "&amp;UPPER(TEXT(EDATE(DATE4,-1)," mmmmmmmm aaaa"))&amp;" (TRES COURT TERME)"</f>
        <v>E. ÉVOLUTION A FIN SEPTEMBRE 2022 PAR RAPPORT À  AOÛT 2022 (TRES COURT TERME)</v>
      </c>
      <c r="B210" s="259"/>
      <c r="C210" s="259"/>
    </row>
    <row r="212" spans="1:12" x14ac:dyDescent="0.25">
      <c r="A212" s="39" t="s">
        <v>96</v>
      </c>
      <c r="B212" s="121" t="s">
        <v>56</v>
      </c>
      <c r="C212" s="181" t="s">
        <v>134</v>
      </c>
      <c r="D212" cm="1">
        <f t="array" ref="D212:D252">TRANSPOSE(D254:AR254)</f>
        <v>4.2881646655230643E-3</v>
      </c>
      <c r="I212" t="str" cm="1">
        <f t="array" ref="I212:L252">_xlfn._xlws.SORT(A212:D252,4,-1,FALSE)</f>
        <v>https://www.insee.fr/fr/statistiques/serie/010534776</v>
      </c>
      <c r="J212" t="str">
        <v>010534776</v>
      </c>
      <c r="K212" t="str">
        <v>Gaz naturel</v>
      </c>
      <c r="L212">
        <v>0.18590759478239671</v>
      </c>
    </row>
    <row r="213" spans="1:12" x14ac:dyDescent="0.25">
      <c r="A213" s="39" t="s">
        <v>97</v>
      </c>
      <c r="B213" s="121" t="s">
        <v>57</v>
      </c>
      <c r="C213" s="121" t="s">
        <v>135</v>
      </c>
      <c r="D213">
        <v>0</v>
      </c>
      <c r="I213" t="str">
        <v>https://www.insee.fr/fr/statistiques/serie/010534180</v>
      </c>
      <c r="J213" t="str">
        <v>010534180</v>
      </c>
      <c r="K213" t="str">
        <v>Peintures Industries</v>
      </c>
      <c r="L213">
        <v>4.0871934604904681E-2</v>
      </c>
    </row>
    <row r="214" spans="1:12" x14ac:dyDescent="0.25">
      <c r="A214" s="39" t="s">
        <v>98</v>
      </c>
      <c r="B214" s="121" t="s">
        <v>58</v>
      </c>
      <c r="C214" s="121" t="s">
        <v>136</v>
      </c>
      <c r="D214">
        <v>0</v>
      </c>
      <c r="I214" t="str">
        <v>https://www.insee.fr/fr/statistiques/serie/010534784</v>
      </c>
      <c r="J214" t="str">
        <v>010534784</v>
      </c>
      <c r="K214" t="str">
        <v>Collecte, traitement et élimination des déchets ; récupération de matériaux</v>
      </c>
      <c r="L214">
        <v>1.8764659890539548E-2</v>
      </c>
    </row>
    <row r="215" spans="1:12" x14ac:dyDescent="0.25">
      <c r="A215" s="37" t="s">
        <v>279</v>
      </c>
      <c r="B215" s="94" t="s">
        <v>280</v>
      </c>
      <c r="C215" s="121" t="s">
        <v>137</v>
      </c>
      <c r="D215">
        <v>-7.4563722897937557E-2</v>
      </c>
      <c r="I215" t="str">
        <v>https://www.insee.fr/fr/statistiques/serie/010534702</v>
      </c>
      <c r="J215" t="str">
        <v>010534702</v>
      </c>
      <c r="K215" t="str">
        <v>Appareils d'éclairage électrique</v>
      </c>
      <c r="L215">
        <v>9.8039215686274161E-3</v>
      </c>
    </row>
    <row r="216" spans="1:12" x14ac:dyDescent="0.25">
      <c r="A216" s="39" t="s">
        <v>99</v>
      </c>
      <c r="B216" s="121" t="s">
        <v>59</v>
      </c>
      <c r="C216" s="121" t="s">
        <v>138</v>
      </c>
      <c r="D216">
        <v>-6.7841409691629995E-2</v>
      </c>
      <c r="I216" t="str">
        <v>https://www.insee.fr/fr/statistiques/serie/010534662</v>
      </c>
      <c r="J216" t="str">
        <v>010534662</v>
      </c>
      <c r="K216" t="str">
        <v>Travaux de fonderie de fonte</v>
      </c>
      <c r="L216">
        <v>9.5389507154213238E-3</v>
      </c>
    </row>
    <row r="217" spans="1:12" x14ac:dyDescent="0.25">
      <c r="A217" s="39" t="s">
        <v>100</v>
      </c>
      <c r="B217" s="121" t="s">
        <v>60</v>
      </c>
      <c r="C217" s="121" t="s">
        <v>139</v>
      </c>
      <c r="D217">
        <v>-2.1682567215958404E-2</v>
      </c>
      <c r="I217" t="str">
        <v>https://www.insee.fr/fr/statistiques/serie/010760506</v>
      </c>
      <c r="J217" t="str">
        <v>010760506</v>
      </c>
      <c r="K217" t="str">
        <v>Réseaux d’assainissement</v>
      </c>
      <c r="L217">
        <v>8.835341365461824E-3</v>
      </c>
    </row>
    <row r="218" spans="1:12" x14ac:dyDescent="0.25">
      <c r="A218" s="39" t="s">
        <v>101</v>
      </c>
      <c r="B218" s="121" t="s">
        <v>61</v>
      </c>
      <c r="C218" s="121" t="s">
        <v>140</v>
      </c>
      <c r="D218">
        <v>0</v>
      </c>
      <c r="I218" t="str">
        <v>https://www.insee.fr/fr/statistiques/serie/010534554</v>
      </c>
      <c r="J218" t="str">
        <v>010534554</v>
      </c>
      <c r="K218" t="str">
        <v>Autres textiles</v>
      </c>
      <c r="L218">
        <v>5.0933786078100063E-3</v>
      </c>
    </row>
    <row r="219" spans="1:12" x14ac:dyDescent="0.25">
      <c r="A219" s="39" t="s">
        <v>102</v>
      </c>
      <c r="B219" s="121" t="s">
        <v>62</v>
      </c>
      <c r="C219" s="121" t="s">
        <v>141</v>
      </c>
      <c r="D219">
        <v>-2.5223759153783609E-2</v>
      </c>
      <c r="I219" t="str">
        <v>https://www.insee.fr/fr/statistiques/serie/001711009</v>
      </c>
      <c r="J219" t="str">
        <v>001711009</v>
      </c>
      <c r="K219" t="str">
        <v>Matériel</v>
      </c>
      <c r="L219">
        <v>4.2881646655230643E-3</v>
      </c>
    </row>
    <row r="220" spans="1:12" x14ac:dyDescent="0.25">
      <c r="A220" s="223" t="s">
        <v>297</v>
      </c>
      <c r="B220" s="221" t="s">
        <v>296</v>
      </c>
      <c r="C220" s="121" t="s">
        <v>294</v>
      </c>
      <c r="D220">
        <v>0.18590759478239671</v>
      </c>
      <c r="I220" t="str">
        <v>https://www.insee.fr/fr/statistiques/serie/010534642</v>
      </c>
      <c r="J220" t="str">
        <v>010534642</v>
      </c>
      <c r="K220" t="str">
        <v>Ciment, chaux et plâtre</v>
      </c>
      <c r="L220">
        <v>3.7481259370315545E-3</v>
      </c>
    </row>
    <row r="221" spans="1:12" x14ac:dyDescent="0.25">
      <c r="A221" s="39" t="s">
        <v>104</v>
      </c>
      <c r="B221" s="121" t="s">
        <v>64</v>
      </c>
      <c r="C221" s="121" t="s">
        <v>64</v>
      </c>
      <c r="D221">
        <v>-0.1221830609847272</v>
      </c>
      <c r="I221" t="str">
        <v>https://www.insee.fr/fr/statistiques/serie/010534667</v>
      </c>
      <c r="J221" t="str">
        <v>010534667</v>
      </c>
      <c r="K221" t="str">
        <v>Éléments en métal pour la construction</v>
      </c>
      <c r="L221">
        <v>2.2238695329872549E-3</v>
      </c>
    </row>
    <row r="222" spans="1:12" x14ac:dyDescent="0.25">
      <c r="A222" s="39" t="s">
        <v>105</v>
      </c>
      <c r="B222" s="121" t="s">
        <v>65</v>
      </c>
      <c r="C222" s="121" t="s">
        <v>142</v>
      </c>
      <c r="D222">
        <v>-8.7655222790359311E-3</v>
      </c>
      <c r="I222" t="str">
        <v>https://www.insee.fr/fr/statistiques/serie/010535345</v>
      </c>
      <c r="J222" t="str">
        <v>010535345</v>
      </c>
      <c r="K222" t="str">
        <v>Câbles de fibres optiques</v>
      </c>
      <c r="L222">
        <v>1.9120458891013214E-3</v>
      </c>
    </row>
    <row r="223" spans="1:12" x14ac:dyDescent="0.25">
      <c r="A223" s="39" t="s">
        <v>106</v>
      </c>
      <c r="B223" s="121" t="s">
        <v>66</v>
      </c>
      <c r="C223" s="121" t="s">
        <v>143</v>
      </c>
      <c r="D223">
        <v>0</v>
      </c>
      <c r="I223" t="str">
        <v>https://www.insee.fr/fr/statistiques/serie/010534647</v>
      </c>
      <c r="J223" t="str">
        <v>010534647</v>
      </c>
      <c r="K223" t="str">
        <v>Mortiers et bétons secs</v>
      </c>
      <c r="L223">
        <v>8.9525514771704451E-4</v>
      </c>
    </row>
    <row r="224" spans="1:12" x14ac:dyDescent="0.25">
      <c r="A224" s="39" t="s">
        <v>107</v>
      </c>
      <c r="B224" s="121" t="s">
        <v>67</v>
      </c>
      <c r="C224" s="121" t="s">
        <v>144</v>
      </c>
      <c r="D224">
        <v>-1.715265866209259E-2</v>
      </c>
      <c r="I224" t="str">
        <v>https://www.insee.fr/fr/statistiques/6020697</v>
      </c>
      <c r="J224" t="str">
        <v>5540998</v>
      </c>
      <c r="K224" t="str">
        <v>Travail</v>
      </c>
      <c r="L224">
        <v>0</v>
      </c>
    </row>
    <row r="225" spans="1:12" x14ac:dyDescent="0.25">
      <c r="A225" s="39" t="s">
        <v>108</v>
      </c>
      <c r="B225" s="121" t="s">
        <v>68</v>
      </c>
      <c r="C225" s="121" t="s">
        <v>145</v>
      </c>
      <c r="D225">
        <v>-4.9751243781094523E-2</v>
      </c>
      <c r="I225" t="str">
        <v>https://www.insee.fr/fr/statistiques/serie/001565195</v>
      </c>
      <c r="J225" t="str">
        <v>001565195</v>
      </c>
      <c r="K225" t="str">
        <v>Travail activités spécialisées</v>
      </c>
      <c r="L225">
        <v>0</v>
      </c>
    </row>
    <row r="226" spans="1:12" x14ac:dyDescent="0.25">
      <c r="A226" s="39" t="s">
        <v>109</v>
      </c>
      <c r="B226" s="121" t="s">
        <v>69</v>
      </c>
      <c r="C226" s="121" t="s">
        <v>146</v>
      </c>
      <c r="D226">
        <v>-1.8001800180017513E-3</v>
      </c>
      <c r="I226" t="str">
        <v>https://www.insee.fr/fr/statistiques/serie/001711943</v>
      </c>
      <c r="J226" t="str">
        <v>001711943</v>
      </c>
      <c r="K226" t="str">
        <v>Transports routiers</v>
      </c>
      <c r="L226">
        <v>0</v>
      </c>
    </row>
    <row r="227" spans="1:12" x14ac:dyDescent="0.25">
      <c r="A227" s="39" t="s">
        <v>110</v>
      </c>
      <c r="B227" s="121" t="s">
        <v>70</v>
      </c>
      <c r="C227" s="121" t="s">
        <v>147</v>
      </c>
      <c r="D227">
        <v>-1.866475233309417E-2</v>
      </c>
      <c r="I227" t="str">
        <v>https://www.insee.fr/fr/statistiques/serie/010534575</v>
      </c>
      <c r="J227" t="str">
        <v>010534575</v>
      </c>
      <c r="K227" t="str">
        <v>Ensemble des produits du sciage</v>
      </c>
      <c r="L227">
        <v>0</v>
      </c>
    </row>
    <row r="228" spans="1:12" x14ac:dyDescent="0.25">
      <c r="A228" s="39" t="s">
        <v>111</v>
      </c>
      <c r="B228" s="121" t="s">
        <v>71</v>
      </c>
      <c r="C228" s="121" t="s">
        <v>148</v>
      </c>
      <c r="D228">
        <v>3.7481259370315545E-3</v>
      </c>
      <c r="I228" t="str">
        <v>https://www.insee.fr/fr/statistiques/serie/010534330</v>
      </c>
      <c r="J228" t="str">
        <v>010534330</v>
      </c>
      <c r="K228" t="str">
        <v>Fils et câbles d'énergie</v>
      </c>
      <c r="L228">
        <v>0</v>
      </c>
    </row>
    <row r="229" spans="1:12" x14ac:dyDescent="0.25">
      <c r="A229" s="39" t="s">
        <v>285</v>
      </c>
      <c r="B229" s="94" t="s">
        <v>284</v>
      </c>
      <c r="C229" s="121" t="s">
        <v>287</v>
      </c>
      <c r="D229">
        <v>-3.1902552204176371E-2</v>
      </c>
      <c r="I229" t="str">
        <v>https://www.insee.fr/fr/statistiques/serie/010534789</v>
      </c>
      <c r="J229" t="str">
        <v>010534789</v>
      </c>
      <c r="K229" t="str">
        <v>Traitement et élimination des déchets non dangereux</v>
      </c>
      <c r="L229">
        <v>0</v>
      </c>
    </row>
    <row r="230" spans="1:12" x14ac:dyDescent="0.25">
      <c r="A230" s="39" t="s">
        <v>112</v>
      </c>
      <c r="B230" s="121" t="s">
        <v>73</v>
      </c>
      <c r="C230" s="121" t="s">
        <v>149</v>
      </c>
      <c r="D230">
        <v>-4.4321329639889107E-2</v>
      </c>
      <c r="I230" t="str">
        <v>https://www.insee.fr/fr/statistiques/serie/010536067</v>
      </c>
      <c r="J230" t="str">
        <v>010536067</v>
      </c>
      <c r="K230" t="str">
        <v>Sables et granulats</v>
      </c>
      <c r="L230">
        <v>-1.8001800180017513E-3</v>
      </c>
    </row>
    <row r="231" spans="1:12" x14ac:dyDescent="0.25">
      <c r="A231" s="39" t="s">
        <v>113</v>
      </c>
      <c r="B231" s="121" t="s">
        <v>74</v>
      </c>
      <c r="C231" s="121" t="s">
        <v>150</v>
      </c>
      <c r="D231">
        <v>-1.20705663881151E-2</v>
      </c>
      <c r="I231" t="str">
        <v>https://www.insee.fr/fr/statistiques/serie/010534638</v>
      </c>
      <c r="J231" t="str">
        <v>010534638</v>
      </c>
      <c r="K231" t="str">
        <v>Tuiles, briques et produits de construction en terre cuite</v>
      </c>
      <c r="L231">
        <v>-5.2277819268111703E-3</v>
      </c>
    </row>
    <row r="232" spans="1:12" x14ac:dyDescent="0.25">
      <c r="A232" s="39" t="s">
        <v>114</v>
      </c>
      <c r="B232" s="121" t="s">
        <v>75</v>
      </c>
      <c r="C232" s="121" t="s">
        <v>151</v>
      </c>
      <c r="D232">
        <v>-3.3252230332522226E-2</v>
      </c>
      <c r="I232" t="str">
        <v>https://www.insee.fr/fr/statistiques/serie/010534696</v>
      </c>
      <c r="J232" t="str">
        <v>010534696</v>
      </c>
      <c r="K232" t="str">
        <v>Moteurs, génératrices, transfo. électr., matér. distrib., cmde électr.</v>
      </c>
      <c r="L232">
        <v>-8.4745762711864181E-3</v>
      </c>
    </row>
    <row r="233" spans="1:12" x14ac:dyDescent="0.25">
      <c r="A233" s="39" t="s">
        <v>115</v>
      </c>
      <c r="B233" s="121" t="s">
        <v>76</v>
      </c>
      <c r="C233" s="121" t="s">
        <v>152</v>
      </c>
      <c r="D233">
        <v>8.9525514771704451E-4</v>
      </c>
      <c r="I233" t="str">
        <v>https://www.insee.fr/fr/statistiques/serie/010534207</v>
      </c>
      <c r="J233" t="str">
        <v>010534207</v>
      </c>
      <c r="K233" t="str">
        <v>Tubes, tuyaux en matière plastique</v>
      </c>
      <c r="L233">
        <v>-8.7655222790359311E-3</v>
      </c>
    </row>
    <row r="234" spans="1:12" x14ac:dyDescent="0.25">
      <c r="A234" s="39" t="s">
        <v>116</v>
      </c>
      <c r="B234" s="121" t="s">
        <v>77</v>
      </c>
      <c r="C234" s="121" t="s">
        <v>153</v>
      </c>
      <c r="D234">
        <v>9.5389507154213238E-3</v>
      </c>
      <c r="I234" t="str">
        <v>https://www.insee.fr/fr/statistiques/serie/010534267</v>
      </c>
      <c r="J234" t="str">
        <v>010534267</v>
      </c>
      <c r="K234" t="str">
        <v>Produits sidérurgiques en acier non allié</v>
      </c>
      <c r="L234">
        <v>-1.0231556273559428E-2</v>
      </c>
    </row>
    <row r="235" spans="1:12" x14ac:dyDescent="0.25">
      <c r="A235" s="39" t="s">
        <v>117</v>
      </c>
      <c r="B235" s="121" t="s">
        <v>78</v>
      </c>
      <c r="C235" s="121" t="s">
        <v>154</v>
      </c>
      <c r="D235">
        <v>-5.2277819268111703E-3</v>
      </c>
      <c r="I235" t="str">
        <v>https://www.insee.fr/fr/statistiques/serie/010534598</v>
      </c>
      <c r="J235" t="str">
        <v>010534598</v>
      </c>
      <c r="K235" t="str">
        <v>Bitume</v>
      </c>
      <c r="L235">
        <v>-1.20705663881151E-2</v>
      </c>
    </row>
    <row r="236" spans="1:12" x14ac:dyDescent="0.25">
      <c r="A236" s="39" t="s">
        <v>299</v>
      </c>
      <c r="B236" s="228" t="s">
        <v>300</v>
      </c>
      <c r="C236" s="224" t="s">
        <v>298</v>
      </c>
      <c r="D236">
        <v>8.835341365461824E-3</v>
      </c>
      <c r="I236" t="str">
        <v>https://www.insee.fr/fr/statistiques/serie/010534698</v>
      </c>
      <c r="J236" t="str">
        <v>010534698</v>
      </c>
      <c r="K236" t="str">
        <v>Matériel de distribution et de commande électrique</v>
      </c>
      <c r="L236">
        <v>-1.6006739679865212E-2</v>
      </c>
    </row>
    <row r="237" spans="1:12" x14ac:dyDescent="0.25">
      <c r="A237" s="39" t="s">
        <v>289</v>
      </c>
      <c r="B237" s="94" t="s">
        <v>290</v>
      </c>
      <c r="C237" s="121" t="s">
        <v>291</v>
      </c>
      <c r="D237">
        <v>5.0933786078100063E-3</v>
      </c>
      <c r="I237" t="str">
        <v>https://www.insee.fr/fr/statistiques/serie/010534646</v>
      </c>
      <c r="J237" t="str">
        <v>010534646</v>
      </c>
      <c r="K237" t="str">
        <v>Béton prêt à l'emploi</v>
      </c>
      <c r="L237">
        <v>-1.715265866209259E-2</v>
      </c>
    </row>
    <row r="238" spans="1:12" x14ac:dyDescent="0.25">
      <c r="A238" s="39" t="s">
        <v>119</v>
      </c>
      <c r="B238" s="121" t="s">
        <v>81</v>
      </c>
      <c r="C238" s="121" t="s">
        <v>156</v>
      </c>
      <c r="D238">
        <v>-3.0588235294117583E-2</v>
      </c>
      <c r="I238" t="str">
        <v>https://www.insee.fr/fr/statistiques/serie/010534625</v>
      </c>
      <c r="J238" t="str">
        <v>010534625</v>
      </c>
      <c r="K238" t="str">
        <v>Plaques, feuilles, tubes et profilés en matières plastiques</v>
      </c>
      <c r="L238">
        <v>-1.866475233309417E-2</v>
      </c>
    </row>
    <row r="239" spans="1:12" x14ac:dyDescent="0.25">
      <c r="A239" s="39" t="s">
        <v>120</v>
      </c>
      <c r="B239" s="121" t="s">
        <v>82</v>
      </c>
      <c r="C239" s="121" t="s">
        <v>157</v>
      </c>
      <c r="D239">
        <v>-3.9390088945362223E-2</v>
      </c>
      <c r="I239" t="str">
        <v>https://www.insee.fr/fr/statistiques/serie/010534645</v>
      </c>
      <c r="J239" t="str">
        <v>010534645</v>
      </c>
      <c r="K239" t="str">
        <v>Éléments en béton pour la construction</v>
      </c>
      <c r="L239">
        <v>-1.9559902200489088E-2</v>
      </c>
    </row>
    <row r="240" spans="1:12" x14ac:dyDescent="0.25">
      <c r="A240" s="39" t="s">
        <v>121</v>
      </c>
      <c r="B240" s="121" t="s">
        <v>83</v>
      </c>
      <c r="C240" s="121" t="s">
        <v>158</v>
      </c>
      <c r="D240">
        <v>-1.9559902200489088E-2</v>
      </c>
      <c r="I240" t="str">
        <v>https://www.insee.fr/fr/statistiques/serie/001711011</v>
      </c>
      <c r="J240" t="str">
        <v>001711011</v>
      </c>
      <c r="K240" t="str">
        <v>Frais divers</v>
      </c>
      <c r="L240">
        <v>-2.1682567215958404E-2</v>
      </c>
    </row>
    <row r="241" spans="1:44" x14ac:dyDescent="0.25">
      <c r="A241" s="39" t="s">
        <v>122</v>
      </c>
      <c r="B241" s="121" t="s">
        <v>84</v>
      </c>
      <c r="C241" s="121" t="s">
        <v>159</v>
      </c>
      <c r="D241">
        <v>0</v>
      </c>
      <c r="I241" t="str">
        <v>https://www.insee.fr/fr/statistiques/serie/010534769</v>
      </c>
      <c r="J241" t="str">
        <v>010534769</v>
      </c>
      <c r="K241" t="str">
        <v>Électricité vendue aux entreprises consommatrices finales</v>
      </c>
      <c r="L241">
        <v>-2.5223759153783609E-2</v>
      </c>
    </row>
    <row r="242" spans="1:44" x14ac:dyDescent="0.25">
      <c r="A242" s="39" t="s">
        <v>123</v>
      </c>
      <c r="B242" s="121" t="s">
        <v>85</v>
      </c>
      <c r="C242" s="121" t="s">
        <v>160</v>
      </c>
      <c r="D242">
        <v>-8.4745762711864181E-3</v>
      </c>
      <c r="I242" t="str">
        <v>https://www.insee.fr/fr/statistiques/serie/010534606</v>
      </c>
      <c r="J242" t="str">
        <v>010534606</v>
      </c>
      <c r="K242" t="str">
        <v>Matières plastiques sous formes primaires</v>
      </c>
      <c r="L242">
        <v>-3.0588235294117583E-2</v>
      </c>
    </row>
    <row r="243" spans="1:44" x14ac:dyDescent="0.25">
      <c r="A243" s="39" t="s">
        <v>124</v>
      </c>
      <c r="B243" s="121" t="s">
        <v>86</v>
      </c>
      <c r="C243" s="121" t="s">
        <v>161</v>
      </c>
      <c r="D243">
        <v>-1.6006739679865212E-2</v>
      </c>
      <c r="I243" t="str">
        <v>https://www.insee.fr/fr/statistiques/serie/010534613</v>
      </c>
      <c r="J243" t="str">
        <v>010534613</v>
      </c>
      <c r="K243" t="str">
        <v>Autres produits explosifs</v>
      </c>
      <c r="L243">
        <v>-3.1902552204176371E-2</v>
      </c>
    </row>
    <row r="244" spans="1:44" x14ac:dyDescent="0.25">
      <c r="A244" s="39" t="s">
        <v>125</v>
      </c>
      <c r="B244" s="121" t="s">
        <v>87</v>
      </c>
      <c r="C244" s="121" t="s">
        <v>162</v>
      </c>
      <c r="D244">
        <v>9.8039215686274161E-3</v>
      </c>
      <c r="I244" t="str">
        <v>https://www.insee.fr/fr/statistiques/serie/010534252</v>
      </c>
      <c r="J244" t="str">
        <v>010534252</v>
      </c>
      <c r="K244" t="str">
        <v>Produits de voierie en béton</v>
      </c>
      <c r="L244">
        <v>-3.3252230332522226E-2</v>
      </c>
    </row>
    <row r="245" spans="1:44" x14ac:dyDescent="0.25">
      <c r="A245" s="39" t="s">
        <v>126</v>
      </c>
      <c r="B245" s="121" t="s">
        <v>88</v>
      </c>
      <c r="C245" s="121" t="s">
        <v>163</v>
      </c>
      <c r="D245">
        <v>1.9120458891013214E-3</v>
      </c>
      <c r="I245" t="str">
        <v>https://www.insee.fr/fr/statistiques/serie/010534654</v>
      </c>
      <c r="J245" t="str">
        <v>010534654</v>
      </c>
      <c r="K245" t="str">
        <v>Tubes, tuyaux, profilés creux et accessoires correspondants en acier</v>
      </c>
      <c r="L245">
        <v>-3.9390088945362223E-2</v>
      </c>
    </row>
    <row r="246" spans="1:44" x14ac:dyDescent="0.25">
      <c r="A246" s="39" t="s">
        <v>127</v>
      </c>
      <c r="B246" s="121" t="s">
        <v>89</v>
      </c>
      <c r="C246" s="121" t="s">
        <v>164</v>
      </c>
      <c r="D246">
        <v>4.0871934604904681E-2</v>
      </c>
      <c r="I246" t="str">
        <v>https://www.insee.fr/fr/statistiques/serie/010536462</v>
      </c>
      <c r="J246" t="str">
        <v>010536462</v>
      </c>
      <c r="K246" t="str">
        <v>Acier pour la construction</v>
      </c>
      <c r="L246">
        <v>-4.4321329639889107E-2</v>
      </c>
    </row>
    <row r="247" spans="1:44" x14ac:dyDescent="0.25">
      <c r="A247" s="39" t="s">
        <v>128</v>
      </c>
      <c r="B247" s="121" t="s">
        <v>90</v>
      </c>
      <c r="C247" s="121" t="s">
        <v>165</v>
      </c>
      <c r="D247">
        <v>-1.0231556273559428E-2</v>
      </c>
      <c r="I247" t="str">
        <v>https://www.insee.fr/fr/statistiques/serie/001763781</v>
      </c>
      <c r="J247" t="str">
        <v>001763781</v>
      </c>
      <c r="K247" t="str">
        <v>Restaurants et hôtels</v>
      </c>
      <c r="L247">
        <v>-4.7492747617074227E-2</v>
      </c>
    </row>
    <row r="248" spans="1:44" x14ac:dyDescent="0.25">
      <c r="A248" s="39" t="s">
        <v>129</v>
      </c>
      <c r="B248" s="121" t="s">
        <v>91</v>
      </c>
      <c r="C248" s="121" t="s">
        <v>166</v>
      </c>
      <c r="D248">
        <v>-0.10729386892177584</v>
      </c>
      <c r="I248" t="str">
        <v>https://www.insee.fr/fr/statistiques/serie/010546545</v>
      </c>
      <c r="J248" t="str">
        <v>010546545</v>
      </c>
      <c r="K248" t="str">
        <v>Barres crénelées ou nervurées pour béton armé</v>
      </c>
      <c r="L248">
        <v>-4.9751243781094523E-2</v>
      </c>
    </row>
    <row r="249" spans="1:44" x14ac:dyDescent="0.25">
      <c r="A249" s="39" t="s">
        <v>130</v>
      </c>
      <c r="B249" s="121" t="s">
        <v>92</v>
      </c>
      <c r="C249" s="121" t="s">
        <v>167</v>
      </c>
      <c r="D249">
        <v>2.2238695329872549E-3</v>
      </c>
      <c r="I249" t="str">
        <v>https://www.insee.fr/fr/statistiques/serie/001764283</v>
      </c>
      <c r="J249" t="str">
        <v>001764283</v>
      </c>
      <c r="K249" t="str">
        <v>Gazole</v>
      </c>
      <c r="L249">
        <v>-6.7841409691629995E-2</v>
      </c>
    </row>
    <row r="250" spans="1:44" x14ac:dyDescent="0.25">
      <c r="A250" s="39" t="s">
        <v>131</v>
      </c>
      <c r="B250" s="121" t="s">
        <v>93</v>
      </c>
      <c r="C250" s="121" t="s">
        <v>168</v>
      </c>
      <c r="D250">
        <v>-4.7492747617074227E-2</v>
      </c>
      <c r="I250" t="str">
        <v>https://www.insee.fr/fr/statistiques/serie/010758171#Tableau</v>
      </c>
      <c r="J250" t="str">
        <v>010758171</v>
      </c>
      <c r="K250" t="str">
        <v>GNR</v>
      </c>
      <c r="L250">
        <v>-7.4563722897937557E-2</v>
      </c>
    </row>
    <row r="251" spans="1:44" x14ac:dyDescent="0.25">
      <c r="A251" s="39" t="s">
        <v>132</v>
      </c>
      <c r="B251" s="121" t="s">
        <v>94</v>
      </c>
      <c r="C251" s="121" t="s">
        <v>169</v>
      </c>
      <c r="D251">
        <v>0</v>
      </c>
      <c r="I251" t="str">
        <v>https://www.insee.fr/fr/statistiques/serie/010536480</v>
      </c>
      <c r="J251" t="str">
        <v>010536480</v>
      </c>
      <c r="K251" t="str">
        <v>Tôles quarto et autres produits plats en aciers non alliés de qualité</v>
      </c>
      <c r="L251">
        <v>-0.10729386892177584</v>
      </c>
    </row>
    <row r="252" spans="1:44" x14ac:dyDescent="0.25">
      <c r="A252" s="39" t="s">
        <v>133</v>
      </c>
      <c r="B252" s="121" t="s">
        <v>95</v>
      </c>
      <c r="C252" s="121" t="s">
        <v>170</v>
      </c>
      <c r="D252">
        <v>1.8764659890539548E-2</v>
      </c>
      <c r="I252" t="str">
        <v>https://www.fntp.fr/sites/default/files/content/indice_gazole_htt.pdf</v>
      </c>
      <c r="J252" t="str">
        <v>Gazole routier HTT</v>
      </c>
      <c r="K252" t="str">
        <v>Gazole routier HTT</v>
      </c>
      <c r="L252">
        <v>-0.1221830609847272</v>
      </c>
    </row>
    <row r="254" spans="1:44" x14ac:dyDescent="0.25">
      <c r="D254" s="188">
        <f>'CUMULS INDICES'!B116/'CUMULS INDICES'!B115-1</f>
        <v>4.2881646655230643E-3</v>
      </c>
      <c r="E254" s="188">
        <f>'CUMULS INDICES'!C116/'CUMULS INDICES'!C115-1</f>
        <v>0</v>
      </c>
      <c r="F254" s="188">
        <f>'CUMULS INDICES'!D116/'CUMULS INDICES'!D115-1</f>
        <v>0</v>
      </c>
      <c r="G254" s="188">
        <f>'CUMULS INDICES'!E116/'CUMULS INDICES'!E115-1</f>
        <v>-7.4563722897937557E-2</v>
      </c>
      <c r="H254" s="188">
        <f>'CUMULS INDICES'!F116/'CUMULS INDICES'!F115-1</f>
        <v>-6.7841409691629995E-2</v>
      </c>
      <c r="I254" s="188">
        <f>'CUMULS INDICES'!G116/'CUMULS INDICES'!G115-1</f>
        <v>-2.1682567215958404E-2</v>
      </c>
      <c r="J254" s="188">
        <f>'CUMULS INDICES'!H116/'CUMULS INDICES'!H115-1</f>
        <v>0</v>
      </c>
      <c r="K254" s="188">
        <f>'CUMULS INDICES'!I116/'CUMULS INDICES'!I115-1</f>
        <v>-2.5223759153783609E-2</v>
      </c>
      <c r="L254" s="188">
        <f>'CUMULS INDICES'!J116/'CUMULS INDICES'!J115-1</f>
        <v>0.18590759478239671</v>
      </c>
      <c r="M254" s="188">
        <f>'CUMULS INDICES'!K116/'CUMULS INDICES'!K115-1</f>
        <v>-0.1221830609847272</v>
      </c>
      <c r="N254" s="188">
        <f>'CUMULS INDICES'!L116/'CUMULS INDICES'!L115-1</f>
        <v>-8.7655222790359311E-3</v>
      </c>
      <c r="O254" s="188">
        <f>'CUMULS INDICES'!M116/'CUMULS INDICES'!M115-1</f>
        <v>0</v>
      </c>
      <c r="P254" s="188">
        <f>'CUMULS INDICES'!N116/'CUMULS INDICES'!N115-1</f>
        <v>-1.715265866209259E-2</v>
      </c>
      <c r="Q254" s="188">
        <f>'CUMULS INDICES'!O116/'CUMULS INDICES'!O115-1</f>
        <v>-4.9751243781094523E-2</v>
      </c>
      <c r="R254" s="188">
        <f>'CUMULS INDICES'!P116/'CUMULS INDICES'!P115-1</f>
        <v>-1.8001800180017513E-3</v>
      </c>
      <c r="S254" s="188">
        <f>'CUMULS INDICES'!Q116/'CUMULS INDICES'!Q115-1</f>
        <v>-1.866475233309417E-2</v>
      </c>
      <c r="T254" s="188">
        <f>'CUMULS INDICES'!R116/'CUMULS INDICES'!R115-1</f>
        <v>3.7481259370315545E-3</v>
      </c>
      <c r="U254" s="188">
        <f>'CUMULS INDICES'!S116/'CUMULS INDICES'!S115-1</f>
        <v>-3.1902552204176371E-2</v>
      </c>
      <c r="V254" s="188">
        <f>'CUMULS INDICES'!T116/'CUMULS INDICES'!T115-1</f>
        <v>-4.4321329639889107E-2</v>
      </c>
      <c r="W254" s="188">
        <f>'CUMULS INDICES'!U116/'CUMULS INDICES'!U115-1</f>
        <v>-1.20705663881151E-2</v>
      </c>
      <c r="X254" s="188">
        <f>'CUMULS INDICES'!V116/'CUMULS INDICES'!V115-1</f>
        <v>-3.3252230332522226E-2</v>
      </c>
      <c r="Y254" s="188">
        <f>'CUMULS INDICES'!W116/'CUMULS INDICES'!W115-1</f>
        <v>8.9525514771704451E-4</v>
      </c>
      <c r="Z254" s="188">
        <f>'CUMULS INDICES'!X116/'CUMULS INDICES'!X115-1</f>
        <v>9.5389507154213238E-3</v>
      </c>
      <c r="AA254" s="188">
        <f>'CUMULS INDICES'!Y116/'CUMULS INDICES'!Y115-1</f>
        <v>-5.2277819268111703E-3</v>
      </c>
      <c r="AB254" s="188">
        <f>'CUMULS INDICES'!Z116/'CUMULS INDICES'!Z115-1</f>
        <v>8.835341365461824E-3</v>
      </c>
      <c r="AC254" s="188">
        <f>'CUMULS INDICES'!AA116/'CUMULS INDICES'!AA115-1</f>
        <v>5.0933786078100063E-3</v>
      </c>
      <c r="AD254" s="188">
        <f>'CUMULS INDICES'!AB116/'CUMULS INDICES'!AB115-1</f>
        <v>-3.0588235294117583E-2</v>
      </c>
      <c r="AE254" s="188">
        <f>'CUMULS INDICES'!AC116/'CUMULS INDICES'!AC115-1</f>
        <v>-3.9390088945362223E-2</v>
      </c>
      <c r="AF254" s="188">
        <f>'CUMULS INDICES'!AD116/'CUMULS INDICES'!AD115-1</f>
        <v>-1.9559902200489088E-2</v>
      </c>
      <c r="AG254" s="188">
        <f>'CUMULS INDICES'!AE116/'CUMULS INDICES'!AE115-1</f>
        <v>0</v>
      </c>
      <c r="AH254" s="188">
        <f>'CUMULS INDICES'!AF116/'CUMULS INDICES'!AF115-1</f>
        <v>-8.4745762711864181E-3</v>
      </c>
      <c r="AI254" s="188">
        <f>'CUMULS INDICES'!AG116/'CUMULS INDICES'!AG115-1</f>
        <v>-1.6006739679865212E-2</v>
      </c>
      <c r="AJ254" s="188">
        <f>'CUMULS INDICES'!AH116/'CUMULS INDICES'!AH115-1</f>
        <v>9.8039215686274161E-3</v>
      </c>
      <c r="AK254" s="188">
        <f>'CUMULS INDICES'!AI116/'CUMULS INDICES'!AI115-1</f>
        <v>1.9120458891013214E-3</v>
      </c>
      <c r="AL254" s="188">
        <f>'CUMULS INDICES'!AJ116/'CUMULS INDICES'!AJ115-1</f>
        <v>4.0871934604904681E-2</v>
      </c>
      <c r="AM254" s="188">
        <f>'CUMULS INDICES'!AK116/'CUMULS INDICES'!AK115-1</f>
        <v>-1.0231556273559428E-2</v>
      </c>
      <c r="AN254" s="188">
        <f>'CUMULS INDICES'!AL116/'CUMULS INDICES'!AL115-1</f>
        <v>-0.10729386892177584</v>
      </c>
      <c r="AO254" s="188">
        <f>'CUMULS INDICES'!AM116/'CUMULS INDICES'!AM115-1</f>
        <v>2.2238695329872549E-3</v>
      </c>
      <c r="AP254" s="188">
        <f>'CUMULS INDICES'!AN116/'CUMULS INDICES'!AN115-1</f>
        <v>-4.7492747617074227E-2</v>
      </c>
      <c r="AQ254" s="188">
        <f>'CUMULS INDICES'!AO116/'CUMULS INDICES'!AO115-1</f>
        <v>0</v>
      </c>
      <c r="AR254" s="188">
        <f>'CUMULS INDICES'!AP116/'CUMULS INDICES'!AP115-1</f>
        <v>1.8764659890539548E-2</v>
      </c>
    </row>
  </sheetData>
  <sheetProtection algorithmName="SHA-512" hashValue="82qvHg/Gbn3weV/k9/IYdtvtKfO/w6u+FP2DG1ynzq5A6uKIUaUWfmKlW2BSQT1//3/hLmHiDifWnZRZ4qGOhQ==" saltValue="VCVHKM7sebP9X7XnnXEtvA==" spinCount="100000" sheet="1" insertColumns="0" insertRows="0" insertHyperlinks="0" deleteColumns="0" deleteRows="0" sort="0" autoFilter="0"/>
  <mergeCells count="10">
    <mergeCell ref="A1:G2"/>
    <mergeCell ref="A4:E4"/>
    <mergeCell ref="A105:E105"/>
    <mergeCell ref="A53:C53"/>
    <mergeCell ref="B55:E55"/>
    <mergeCell ref="J55:M55"/>
    <mergeCell ref="B6:E6"/>
    <mergeCell ref="J6:M6"/>
    <mergeCell ref="A157:C157"/>
    <mergeCell ref="A210:C210"/>
  </mergeCells>
  <hyperlinks>
    <hyperlink ref="A169" r:id="rId1" xr:uid="{37C91ED9-C7F7-4EF2-A25F-5694D0026C27}"/>
    <hyperlink ref="A220" r:id="rId2" xr:uid="{BA81E446-59BC-4053-A96B-72908ABDADAF}"/>
    <hyperlink ref="A117" r:id="rId3" xr:uid="{09FA602C-F49F-425C-8C13-9B19231E31DE}"/>
    <hyperlink ref="A65" r:id="rId4" xr:uid="{003EA975-8971-4674-B0BB-057D8F9CD29D}"/>
    <hyperlink ref="A16" r:id="rId5" xr:uid="{72F12126-0AE1-492E-BEF5-12D7D79231CF}"/>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D63"/>
  <sheetViews>
    <sheetView showGridLines="0" tabSelected="1" topLeftCell="A19" zoomScaleNormal="100" workbookViewId="0">
      <selection activeCell="A21" sqref="A21:B27"/>
    </sheetView>
  </sheetViews>
  <sheetFormatPr baseColWidth="10" defaultRowHeight="15" x14ac:dyDescent="0.25"/>
  <cols>
    <col min="1" max="1" width="6.85546875" customWidth="1"/>
    <col min="2" max="2" width="46.7109375" customWidth="1"/>
    <col min="3" max="3" width="38.42578125" customWidth="1"/>
    <col min="4" max="4" width="6.85546875" customWidth="1"/>
  </cols>
  <sheetData>
    <row r="1" spans="1:4" x14ac:dyDescent="0.25">
      <c r="A1" s="271" t="s">
        <v>256</v>
      </c>
      <c r="B1" s="271"/>
      <c r="C1" s="271"/>
      <c r="D1" s="271"/>
    </row>
    <row r="2" spans="1:4" x14ac:dyDescent="0.25">
      <c r="A2" s="158"/>
      <c r="B2" s="158"/>
      <c r="C2" s="158"/>
      <c r="D2" s="158"/>
    </row>
    <row r="3" spans="1:4" s="222" customFormat="1" x14ac:dyDescent="0.25">
      <c r="A3" s="158"/>
      <c r="B3" s="158"/>
      <c r="C3" s="158"/>
      <c r="D3" s="158"/>
    </row>
    <row r="4" spans="1:4" x14ac:dyDescent="0.25">
      <c r="A4" s="159"/>
      <c r="B4" s="158"/>
      <c r="C4" s="158"/>
      <c r="D4" s="159"/>
    </row>
    <row r="5" spans="1:4" ht="15" customHeight="1" x14ac:dyDescent="0.25">
      <c r="A5" s="265" t="s">
        <v>257</v>
      </c>
      <c r="B5" s="265"/>
      <c r="C5" s="265"/>
      <c r="D5" s="265"/>
    </row>
    <row r="6" spans="1:4" x14ac:dyDescent="0.25">
      <c r="A6" s="265"/>
      <c r="B6" s="265"/>
      <c r="C6" s="265"/>
      <c r="D6" s="265"/>
    </row>
    <row r="7" spans="1:4" x14ac:dyDescent="0.25">
      <c r="A7" s="265"/>
      <c r="B7" s="265"/>
      <c r="C7" s="265"/>
      <c r="D7" s="265"/>
    </row>
    <row r="8" spans="1:4" ht="15" customHeight="1" x14ac:dyDescent="0.25">
      <c r="A8" s="269" t="str">
        <f>"Cette édition porte sur les données de "&amp;TEXT(DATE3,"mmmmmmmm aaaa")&amp;". A partir de mai 2022, les index TP sont publiés avec un décalage de 45 jours."</f>
        <v>Cette édition porte sur les données de septembre 2022. A partir de mai 2022, les index TP sont publiés avec un décalage de 45 jours.</v>
      </c>
      <c r="B8" s="269"/>
      <c r="C8" s="269"/>
      <c r="D8" s="195"/>
    </row>
    <row r="9" spans="1:4" x14ac:dyDescent="0.25">
      <c r="A9" s="270" t="s">
        <v>248</v>
      </c>
      <c r="B9" s="270"/>
      <c r="C9" s="270"/>
      <c r="D9" s="270"/>
    </row>
    <row r="10" spans="1:4" x14ac:dyDescent="0.25">
      <c r="A10" s="270"/>
      <c r="B10" s="270"/>
      <c r="C10" s="270"/>
      <c r="D10" s="270"/>
    </row>
    <row r="11" spans="1:4" x14ac:dyDescent="0.25">
      <c r="A11" s="161" t="s">
        <v>258</v>
      </c>
      <c r="B11" s="158"/>
      <c r="C11" s="158"/>
      <c r="D11" s="158"/>
    </row>
    <row r="12" spans="1:4" ht="15" customHeight="1" x14ac:dyDescent="0.25">
      <c r="A12" s="266"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2021 (Cumul janv 2022-sept 2022 / Cumul janv 2021-sept 2021) et de 2020 (Cumul janv 2022-sept 2022 / Cumul janv 2020-sept 2020)</v>
      </c>
      <c r="B12" s="266"/>
      <c r="C12" s="266"/>
      <c r="D12" s="266"/>
    </row>
    <row r="13" spans="1:4" x14ac:dyDescent="0.25">
      <c r="A13" s="266"/>
      <c r="B13" s="266"/>
      <c r="C13" s="266"/>
      <c r="D13" s="266"/>
    </row>
    <row r="14" spans="1:4" ht="15" customHeight="1" x14ac:dyDescent="0.25">
      <c r="A14" s="266"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juil 2022-sept 2022 / Cumul avr 2022-juin 2022) et 6 mois glissants (Cumul avr 2022-sept 2022 / Cumul oct 2021-mars 2022)</v>
      </c>
      <c r="B14" s="266"/>
      <c r="C14" s="266"/>
      <c r="D14" s="266"/>
    </row>
    <row r="15" spans="1:4" x14ac:dyDescent="0.25">
      <c r="A15" s="266"/>
      <c r="B15" s="266"/>
      <c r="C15" s="266"/>
      <c r="D15" s="266"/>
    </row>
    <row r="16" spans="1:4" x14ac:dyDescent="0.25">
      <c r="A16" s="158"/>
      <c r="B16" s="162"/>
      <c r="C16" s="162"/>
      <c r="D16" s="158"/>
    </row>
    <row r="17" spans="1:4" x14ac:dyDescent="0.25">
      <c r="A17" s="267" t="s">
        <v>283</v>
      </c>
      <c r="B17" s="267"/>
      <c r="C17" s="267"/>
      <c r="D17" s="267"/>
    </row>
    <row r="18" spans="1:4" x14ac:dyDescent="0.25">
      <c r="A18" s="158"/>
      <c r="B18" s="158"/>
      <c r="C18" s="158"/>
      <c r="D18" s="158"/>
    </row>
    <row r="19" spans="1:4" ht="15" customHeight="1" x14ac:dyDescent="0.25">
      <c r="A19" s="264" t="s">
        <v>259</v>
      </c>
      <c r="B19" s="264"/>
      <c r="C19" s="158"/>
      <c r="D19" s="158"/>
    </row>
    <row r="20" spans="1:4" x14ac:dyDescent="0.25">
      <c r="A20" s="264"/>
      <c r="B20" s="264"/>
      <c r="C20" s="158"/>
      <c r="D20" s="158"/>
    </row>
    <row r="21" spans="1:4" ht="15" customHeight="1" x14ac:dyDescent="0.25">
      <c r="A21" s="268"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*/2021 = Cumul janv 2022-sept 2022 / Cumul janv 2021-sept 2021) + indication de l’évolution par rapport à */2020 = Cumul janv 2022-sept 2022 / Cumul janv 2020-sept 2020)
- en 3 mois glissants (Cumul juil 2022-sept 2022 / Cumul avr 2022-juin 2022 + indication de l'évolution en 6 mois glissants (Cumul avr 2022-sept 2022 / Cumul oct 2021-mars 2022)</v>
      </c>
      <c r="B21" s="268"/>
      <c r="C21" s="158"/>
      <c r="D21" s="158"/>
    </row>
    <row r="22" spans="1:4" x14ac:dyDescent="0.25">
      <c r="A22" s="268"/>
      <c r="B22" s="268"/>
      <c r="C22" s="158"/>
      <c r="D22" s="158"/>
    </row>
    <row r="23" spans="1:4" x14ac:dyDescent="0.25">
      <c r="A23" s="268"/>
      <c r="B23" s="268"/>
      <c r="C23" s="158"/>
      <c r="D23" s="158"/>
    </row>
    <row r="24" spans="1:4" x14ac:dyDescent="0.25">
      <c r="A24" s="268"/>
      <c r="B24" s="268"/>
      <c r="C24" s="170"/>
      <c r="D24" s="158"/>
    </row>
    <row r="25" spans="1:4" x14ac:dyDescent="0.25">
      <c r="A25" s="268"/>
      <c r="B25" s="268"/>
      <c r="C25" s="170"/>
      <c r="D25" s="158"/>
    </row>
    <row r="26" spans="1:4" x14ac:dyDescent="0.25">
      <c r="A26" s="268"/>
      <c r="B26" s="268"/>
      <c r="C26" s="170"/>
      <c r="D26" s="158"/>
    </row>
    <row r="27" spans="1:4" x14ac:dyDescent="0.25">
      <c r="A27" s="268"/>
      <c r="B27" s="268"/>
      <c r="C27" s="170"/>
      <c r="D27" s="158"/>
    </row>
    <row r="28" spans="1:4" x14ac:dyDescent="0.25">
      <c r="A28" s="170"/>
      <c r="B28" s="158"/>
      <c r="C28" s="170"/>
      <c r="D28" s="158"/>
    </row>
    <row r="29" spans="1:4" x14ac:dyDescent="0.25">
      <c r="A29" s="267" t="s">
        <v>260</v>
      </c>
      <c r="B29" s="267"/>
      <c r="C29" s="267"/>
      <c r="D29" s="267"/>
    </row>
    <row r="30" spans="1:4" x14ac:dyDescent="0.25">
      <c r="A30" s="163"/>
      <c r="B30" s="158"/>
      <c r="C30" s="158"/>
      <c r="D30" s="158"/>
    </row>
    <row r="31" spans="1:4" ht="15" customHeight="1" x14ac:dyDescent="0.25">
      <c r="A31" s="263" t="s">
        <v>251</v>
      </c>
      <c r="B31" s="263"/>
      <c r="C31" s="158"/>
      <c r="D31" s="158"/>
    </row>
    <row r="32" spans="1:4" x14ac:dyDescent="0.25">
      <c r="A32" s="263"/>
      <c r="B32" s="263"/>
      <c r="C32" s="158"/>
      <c r="D32" s="158"/>
    </row>
    <row r="33" spans="1:4" x14ac:dyDescent="0.25">
      <c r="A33" s="158"/>
      <c r="B33" s="158"/>
      <c r="C33" s="158"/>
      <c r="D33" s="158"/>
    </row>
    <row r="34" spans="1:4" x14ac:dyDescent="0.25">
      <c r="A34" s="158"/>
      <c r="B34" s="158"/>
      <c r="C34" s="158"/>
      <c r="D34" s="158"/>
    </row>
    <row r="35" spans="1:4" ht="15" customHeight="1" x14ac:dyDescent="0.25">
      <c r="A35" s="264" t="s">
        <v>261</v>
      </c>
      <c r="B35" s="264"/>
      <c r="C35" s="158"/>
      <c r="D35" s="158"/>
    </row>
    <row r="36" spans="1:4" x14ac:dyDescent="0.25">
      <c r="A36" s="264"/>
      <c r="B36" s="264"/>
      <c r="C36" s="158"/>
      <c r="D36" s="158"/>
    </row>
    <row r="37" spans="1:4" x14ac:dyDescent="0.25">
      <c r="A37" s="264"/>
      <c r="B37" s="264"/>
      <c r="C37" s="158"/>
      <c r="D37" s="158"/>
    </row>
    <row r="38" spans="1:4" x14ac:dyDescent="0.25">
      <c r="A38" s="264"/>
      <c r="B38" s="264"/>
      <c r="C38" s="158"/>
      <c r="D38" s="158"/>
    </row>
    <row r="39" spans="1:4" ht="15" customHeight="1" x14ac:dyDescent="0.25">
      <c r="A39" s="264" t="s">
        <v>262</v>
      </c>
      <c r="B39" s="264"/>
      <c r="C39" s="158"/>
      <c r="D39" s="158"/>
    </row>
    <row r="40" spans="1:4" x14ac:dyDescent="0.25">
      <c r="A40" s="264"/>
      <c r="B40" s="264"/>
      <c r="C40" s="158"/>
      <c r="D40" s="158"/>
    </row>
    <row r="41" spans="1:4" x14ac:dyDescent="0.25">
      <c r="A41" s="264"/>
      <c r="B41" s="264"/>
      <c r="C41" s="158"/>
      <c r="D41" s="158"/>
    </row>
    <row r="42" spans="1:4" x14ac:dyDescent="0.25">
      <c r="A42" s="264"/>
      <c r="B42" s="264"/>
      <c r="C42" s="158"/>
      <c r="D42" s="158"/>
    </row>
    <row r="43" spans="1:4" x14ac:dyDescent="0.25">
      <c r="A43" s="264"/>
      <c r="B43" s="264"/>
      <c r="C43" s="158"/>
      <c r="D43" s="158"/>
    </row>
    <row r="44" spans="1:4" ht="15" customHeight="1" x14ac:dyDescent="0.25">
      <c r="A44" s="264" t="s">
        <v>263</v>
      </c>
      <c r="B44" s="264"/>
      <c r="C44" s="158"/>
      <c r="D44" s="158"/>
    </row>
    <row r="45" spans="1:4" x14ac:dyDescent="0.25">
      <c r="A45" s="264"/>
      <c r="B45" s="264"/>
      <c r="C45" s="158"/>
      <c r="D45" s="158"/>
    </row>
    <row r="46" spans="1:4" x14ac:dyDescent="0.25">
      <c r="A46" s="264"/>
      <c r="B46" s="264"/>
      <c r="C46" s="158"/>
      <c r="D46" s="158"/>
    </row>
    <row r="47" spans="1:4" x14ac:dyDescent="0.25">
      <c r="A47" s="158"/>
      <c r="B47" s="158"/>
      <c r="C47" s="158"/>
      <c r="D47" s="158"/>
    </row>
    <row r="48" spans="1:4" x14ac:dyDescent="0.25">
      <c r="A48" s="267" t="s">
        <v>264</v>
      </c>
      <c r="B48" s="267"/>
      <c r="C48" s="267"/>
      <c r="D48" s="267"/>
    </row>
    <row r="49" spans="1:4" x14ac:dyDescent="0.25">
      <c r="A49" s="158"/>
      <c r="B49" s="158"/>
      <c r="C49" s="158"/>
      <c r="D49" s="158"/>
    </row>
    <row r="50" spans="1:4" ht="15" customHeight="1" x14ac:dyDescent="0.25">
      <c r="A50" s="264" t="s">
        <v>265</v>
      </c>
      <c r="B50" s="264"/>
      <c r="C50" s="158"/>
      <c r="D50" s="158"/>
    </row>
    <row r="51" spans="1:4" x14ac:dyDescent="0.25">
      <c r="A51" s="264"/>
      <c r="B51" s="264"/>
      <c r="C51" s="158"/>
      <c r="D51" s="158"/>
    </row>
    <row r="52" spans="1:4" x14ac:dyDescent="0.25">
      <c r="A52" s="264"/>
      <c r="B52" s="264"/>
      <c r="C52" s="158"/>
      <c r="D52" s="158"/>
    </row>
    <row r="53" spans="1:4" ht="15" customHeight="1" x14ac:dyDescent="0.25">
      <c r="A53" s="272"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*/2021 = Cumul janv 2022-sept 2022 / Cumul janv 2021-sept 2021) + indication de l’évolution par rapport à */2020 = Cumul janv 2022-sept 2022 / Cumul janv 2020-sept 2020)
- en 3 mois glissants (Cumul juil 2022-sept 2022 / Cumul avr 2022-juin 2022 + indication de l'évolution en 6 mois glissants (Cumul avr 2022-sept 2022 / Cumul oct 2021-mars 2022)</v>
      </c>
      <c r="B53" s="272"/>
      <c r="C53" s="158"/>
      <c r="D53" s="158"/>
    </row>
    <row r="54" spans="1:4" x14ac:dyDescent="0.25">
      <c r="A54" s="272"/>
      <c r="B54" s="272"/>
      <c r="C54" s="158"/>
      <c r="D54" s="158"/>
    </row>
    <row r="55" spans="1:4" x14ac:dyDescent="0.25">
      <c r="A55" s="272"/>
      <c r="B55" s="272"/>
      <c r="C55" s="158"/>
      <c r="D55" s="158"/>
    </row>
    <row r="56" spans="1:4" x14ac:dyDescent="0.25">
      <c r="A56" s="272"/>
      <c r="B56" s="272"/>
      <c r="C56" s="158"/>
      <c r="D56" s="158"/>
    </row>
    <row r="57" spans="1:4" x14ac:dyDescent="0.25">
      <c r="A57" s="272"/>
      <c r="B57" s="272"/>
      <c r="C57" s="158"/>
      <c r="D57" s="158"/>
    </row>
    <row r="58" spans="1:4" x14ac:dyDescent="0.25">
      <c r="A58" s="272"/>
      <c r="B58" s="272"/>
      <c r="C58" s="158"/>
      <c r="D58" s="158"/>
    </row>
    <row r="59" spans="1:4" x14ac:dyDescent="0.25">
      <c r="A59" s="158"/>
      <c r="B59" s="158"/>
      <c r="C59" s="158"/>
      <c r="D59" s="158"/>
    </row>
    <row r="60" spans="1:4" ht="15" customHeight="1" x14ac:dyDescent="0.25">
      <c r="A60" s="263"/>
      <c r="B60" s="263"/>
      <c r="C60" s="158"/>
      <c r="D60" s="158"/>
    </row>
    <row r="61" spans="1:4" x14ac:dyDescent="0.25">
      <c r="A61" s="263"/>
      <c r="B61" s="263"/>
      <c r="C61" s="158"/>
      <c r="D61" s="158"/>
    </row>
    <row r="62" spans="1:4" x14ac:dyDescent="0.25">
      <c r="A62" s="170"/>
      <c r="B62" s="158"/>
      <c r="C62" s="158"/>
      <c r="D62" s="158"/>
    </row>
    <row r="63" spans="1:4" x14ac:dyDescent="0.25">
      <c r="A63" s="158"/>
      <c r="B63" s="158"/>
      <c r="C63" s="158"/>
      <c r="D63" s="158"/>
    </row>
  </sheetData>
  <mergeCells count="18">
    <mergeCell ref="A1:D1"/>
    <mergeCell ref="A44:B46"/>
    <mergeCell ref="A48:D48"/>
    <mergeCell ref="A50:B52"/>
    <mergeCell ref="A53:B58"/>
    <mergeCell ref="A60:B61"/>
    <mergeCell ref="A39:B43"/>
    <mergeCell ref="A5:D7"/>
    <mergeCell ref="A12:D13"/>
    <mergeCell ref="A14:D15"/>
    <mergeCell ref="A17:D17"/>
    <mergeCell ref="A19:B20"/>
    <mergeCell ref="A21:B27"/>
    <mergeCell ref="A29:D29"/>
    <mergeCell ref="A31:B32"/>
    <mergeCell ref="A35:B38"/>
    <mergeCell ref="A8:C8"/>
    <mergeCell ref="A9:D10"/>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AB30"/>
  <sheetViews>
    <sheetView showGridLines="0" topLeftCell="A4" zoomScaleNormal="100" workbookViewId="0">
      <selection activeCell="B18" sqref="B18"/>
    </sheetView>
  </sheetViews>
  <sheetFormatPr baseColWidth="10" defaultRowHeight="15" x14ac:dyDescent="0.25"/>
  <cols>
    <col min="1" max="1" width="11.5703125" customWidth="1"/>
    <col min="2" max="2" width="66.7109375" bestFit="1" customWidth="1"/>
    <col min="3" max="4" width="7" bestFit="1" customWidth="1"/>
  </cols>
  <sheetData>
    <row r="1" spans="1:4" x14ac:dyDescent="0.25">
      <c r="A1" s="16" t="str">
        <f>"CLASSEMENT DES INDEX SELON LEUR ÉVOLUTION A "&amp;'A MODIFIER'!B4&amp;" EN CUMUL DEPUIS JANVIER"</f>
        <v>CLASSEMENT DES INDEX SELON LEUR ÉVOLUTION A SEPTEMBRE 2022 EN CUMUL DEPUIS JANVIER</v>
      </c>
      <c r="B1" s="17"/>
      <c r="C1" s="18"/>
      <c r="D1" s="18"/>
    </row>
    <row r="2" spans="1:4" x14ac:dyDescent="0.25">
      <c r="A2" s="19"/>
      <c r="B2" s="19"/>
      <c r="C2" s="19"/>
      <c r="D2" s="19"/>
    </row>
    <row r="3" spans="1:4" x14ac:dyDescent="0.25">
      <c r="A3" s="20" t="str" cm="1">
        <f t="array" ref="A3:A4">'A MODIFIER'!A5:A6</f>
        <v>*/2021 = Cumul janv 2022-sept 2022 / Cumul janv 2021-sept 2021</v>
      </c>
      <c r="B3" s="19"/>
      <c r="C3" s="19"/>
      <c r="D3" s="19"/>
    </row>
    <row r="4" spans="1:4" x14ac:dyDescent="0.25">
      <c r="A4" s="20" t="str">
        <v>*/2020 = Cumul janv 2022-sept 2022 / Cumul janv 2020-sept 2020</v>
      </c>
      <c r="B4" s="19"/>
      <c r="C4" s="19"/>
      <c r="D4" s="19"/>
    </row>
    <row r="7" spans="1:4" x14ac:dyDescent="0.25">
      <c r="A7" s="7"/>
      <c r="B7" s="8"/>
      <c r="C7" s="25" t="str">
        <f>'A MODIFIER'!A10</f>
        <v>*/2021</v>
      </c>
      <c r="D7" s="25" t="str">
        <f>'A MODIFIER'!A9</f>
        <v>*/2020</v>
      </c>
    </row>
    <row r="8" spans="1:4" x14ac:dyDescent="0.25">
      <c r="A8" s="26" t="str" cm="1">
        <f t="array" ref="A8:D30">'DEPUIS JANVIER'!J7:M29</f>
        <v>TP07b</v>
      </c>
      <c r="B8" s="26" t="str">
        <v>Travaux de génie civil, béton et acier pour ouvrages maritimes</v>
      </c>
      <c r="C8" s="200">
        <v>0.25269312218027817</v>
      </c>
      <c r="D8" s="201">
        <v>0.50786877978499367</v>
      </c>
    </row>
    <row r="9" spans="1:4" x14ac:dyDescent="0.25">
      <c r="A9" s="26" t="str">
        <v>TP09</v>
      </c>
      <c r="B9" s="26" t="str">
        <v>Fabrication et mise en œuvre d’enrobés </v>
      </c>
      <c r="C9" s="200">
        <v>0.23414877683474788</v>
      </c>
      <c r="D9" s="201">
        <v>0.31559340074507714</v>
      </c>
    </row>
    <row r="10" spans="1:4" x14ac:dyDescent="0.25">
      <c r="A10" s="26" t="str">
        <v>TP06a</v>
      </c>
      <c r="B10" s="26" t="str">
        <v>Grands dragages maritimes </v>
      </c>
      <c r="C10" s="200">
        <v>0.17909135319980463</v>
      </c>
      <c r="D10" s="201">
        <v>0.25878794200479804</v>
      </c>
    </row>
    <row r="11" spans="1:4" x14ac:dyDescent="0.25">
      <c r="A11" s="26" t="str">
        <v>TP13</v>
      </c>
      <c r="B11" s="26" t="str">
        <v xml:space="preserve">Charpentes et ouvrages d’art métalliques </v>
      </c>
      <c r="C11" s="200">
        <v>0.15359357898577142</v>
      </c>
      <c r="D11" s="201">
        <v>0.27051732797589167</v>
      </c>
    </row>
    <row r="12" spans="1:4" x14ac:dyDescent="0.25">
      <c r="A12" s="26" t="str">
        <v>TP11</v>
      </c>
      <c r="B12" s="26" t="str">
        <v>Canalisations grandes distances de transport / transfert  avec fourniture de tuyaux</v>
      </c>
      <c r="C12" s="200">
        <v>0.13733333333333309</v>
      </c>
      <c r="D12" s="201">
        <v>0.17842720510095633</v>
      </c>
    </row>
    <row r="13" spans="1:4" x14ac:dyDescent="0.25">
      <c r="A13" s="26" t="str">
        <v>TP08</v>
      </c>
      <c r="B13" s="26" t="str">
        <v>Travaux d’aménagement et entretien de voirie</v>
      </c>
      <c r="C13" s="200">
        <v>0.13152421511339996</v>
      </c>
      <c r="D13" s="201">
        <v>0.17408282807522357</v>
      </c>
    </row>
    <row r="14" spans="1:4" x14ac:dyDescent="0.25">
      <c r="A14" s="26" t="str">
        <v>TP10c</v>
      </c>
      <c r="B14" s="26" t="str">
        <v>Réhabilitation de canalisations non visitables</v>
      </c>
      <c r="C14" s="200">
        <v>0.12891599667313547</v>
      </c>
      <c r="D14" s="201">
        <v>0.25446703635243395</v>
      </c>
    </row>
    <row r="15" spans="1:4" x14ac:dyDescent="0.25">
      <c r="A15" s="26" t="str">
        <v>TP12b</v>
      </c>
      <c r="B15" s="26" t="str">
        <v>Éclairage public -Travaux d'installation</v>
      </c>
      <c r="C15" s="200">
        <v>0.10822424302987899</v>
      </c>
      <c r="D15" s="201">
        <v>0.14118131302737202</v>
      </c>
    </row>
    <row r="16" spans="1:4" x14ac:dyDescent="0.25">
      <c r="A16" s="26" t="str">
        <v>TP04</v>
      </c>
      <c r="B16" s="26" t="str">
        <v xml:space="preserve">Fondations et travaux géotechniques </v>
      </c>
      <c r="C16" s="200">
        <v>0.10705849003118195</v>
      </c>
      <c r="D16" s="201">
        <v>0.17701426562186051</v>
      </c>
    </row>
    <row r="17" spans="1:28" x14ac:dyDescent="0.25">
      <c r="A17" s="172" t="str">
        <v>TP01</v>
      </c>
      <c r="B17" s="172" t="str">
        <v>Index général tous travaux</v>
      </c>
      <c r="C17" s="200">
        <v>0.10459233313874305</v>
      </c>
      <c r="D17" s="202">
        <v>0.14642027668383295</v>
      </c>
    </row>
    <row r="18" spans="1:28" x14ac:dyDescent="0.25">
      <c r="A18" s="26" t="str">
        <v>TP10d</v>
      </c>
      <c r="B18" s="26" t="str">
        <v>Réseaux de chauffage et de froid avec fourniture de tuyaux</v>
      </c>
      <c r="C18" s="200">
        <v>9.263050153531216E-2</v>
      </c>
      <c r="D18" s="201">
        <v>0.12748204478242497</v>
      </c>
    </row>
    <row r="19" spans="1:28" x14ac:dyDescent="0.25">
      <c r="A19" s="26" t="str">
        <v>TP03b</v>
      </c>
      <c r="B19" s="26" t="str">
        <v>Travaux à l’explosif</v>
      </c>
      <c r="C19" s="200">
        <v>9.1720779220779258E-2</v>
      </c>
      <c r="D19" s="201">
        <v>0.10962153243271122</v>
      </c>
    </row>
    <row r="20" spans="1:28" x14ac:dyDescent="0.25">
      <c r="A20" s="26" t="str">
        <v>TP06b</v>
      </c>
      <c r="B20" s="26" t="str">
        <v>Dragages fluviaux et petits dragages maritimes</v>
      </c>
      <c r="C20" s="200">
        <v>8.6146095717884341E-2</v>
      </c>
      <c r="D20" s="201">
        <v>0.11559557073372662</v>
      </c>
    </row>
    <row r="21" spans="1:28" x14ac:dyDescent="0.25">
      <c r="A21" s="26" t="str">
        <v>TP02</v>
      </c>
      <c r="B21" s="26" t="str">
        <v>Travaux de génie civil et d’ouvrages d’art neufs ou rénovation</v>
      </c>
      <c r="C21" s="200">
        <v>8.3240740740740726E-2</v>
      </c>
      <c r="D21" s="201">
        <v>0.13759237650719558</v>
      </c>
    </row>
    <row r="22" spans="1:28" x14ac:dyDescent="0.25">
      <c r="A22" s="26" t="str">
        <v>TP03a</v>
      </c>
      <c r="B22" s="26" t="str">
        <v>Grands terrassements</v>
      </c>
      <c r="C22" s="200">
        <v>8.1769701757850921E-2</v>
      </c>
      <c r="D22" s="201">
        <v>0.10926582278481001</v>
      </c>
    </row>
    <row r="23" spans="1:28" x14ac:dyDescent="0.25">
      <c r="A23" s="26" t="str">
        <v>TP05a</v>
      </c>
      <c r="B23" s="26" t="str">
        <v xml:space="preserve">Travaux en souterrains traditionnels </v>
      </c>
      <c r="C23" s="200">
        <v>7.9362047559927484E-2</v>
      </c>
      <c r="D23" s="201">
        <v>0.12524890481879747</v>
      </c>
    </row>
    <row r="24" spans="1:28" x14ac:dyDescent="0.25">
      <c r="A24" s="26" t="str">
        <v>TP05b</v>
      </c>
      <c r="B24" s="26" t="str">
        <v xml:space="preserve">Travaux en souterrains avec tunnelier </v>
      </c>
      <c r="C24" s="200">
        <v>7.8682875466640878E-2</v>
      </c>
      <c r="D24" s="201">
        <v>0.1238655629799541</v>
      </c>
    </row>
    <row r="25" spans="1:28" x14ac:dyDescent="0.25">
      <c r="A25" s="26" t="str">
        <v>TP10a</v>
      </c>
      <c r="B25" s="26" t="str">
        <v xml:space="preserve">Canalisations, assainissement et adduction d’eau avec fourniture de tuyaux </v>
      </c>
      <c r="C25" s="200">
        <v>7.5738376060044965E-2</v>
      </c>
      <c r="D25" s="201">
        <v>0.10570083158000232</v>
      </c>
    </row>
    <row r="26" spans="1:28" x14ac:dyDescent="0.25">
      <c r="A26" s="26" t="str">
        <v>TP12a</v>
      </c>
      <c r="B26" s="26" t="str">
        <v>Réseaux d'énergie et de communication</v>
      </c>
      <c r="C26" s="200">
        <v>6.3763909046927747E-2</v>
      </c>
      <c r="D26" s="201">
        <v>8.8407088407088219E-2</v>
      </c>
      <c r="P26" s="4"/>
      <c r="Q26" s="4"/>
      <c r="R26" s="4"/>
      <c r="S26" s="4"/>
      <c r="T26" s="4"/>
      <c r="U26" s="4"/>
      <c r="V26" s="4"/>
      <c r="W26" s="4"/>
      <c r="X26" s="4"/>
      <c r="Y26" s="4"/>
      <c r="Z26" s="4"/>
      <c r="AA26" s="4"/>
      <c r="AB26" s="4"/>
    </row>
    <row r="27" spans="1:28" x14ac:dyDescent="0.25">
      <c r="A27" s="26" t="str">
        <v>TP10b</v>
      </c>
      <c r="B27" s="26" t="str">
        <v>Canalisations sans fourniture de tuyaux</v>
      </c>
      <c r="C27" s="200">
        <v>4.7582428145726885E-2</v>
      </c>
      <c r="D27" s="201">
        <v>6.9165113313057969E-2</v>
      </c>
    </row>
    <row r="28" spans="1:28" x14ac:dyDescent="0.25">
      <c r="A28" s="26" t="str">
        <v>TP14</v>
      </c>
      <c r="B28" s="26" t="str">
        <v>Travaux immergés par scaphandriers</v>
      </c>
      <c r="C28" s="200">
        <v>4.2835336767792276E-2</v>
      </c>
      <c r="D28" s="201">
        <v>5.277858037176153E-2</v>
      </c>
    </row>
    <row r="29" spans="1:28" x14ac:dyDescent="0.25">
      <c r="A29" s="26" t="str">
        <v>TP12c</v>
      </c>
      <c r="B29" s="26" t="str">
        <v>Éclairage public - Travaux  de maintenance</v>
      </c>
      <c r="C29" s="200">
        <v>2.6580320896965048E-2</v>
      </c>
      <c r="D29" s="201">
        <v>3.1064945150956147E-2</v>
      </c>
    </row>
    <row r="30" spans="1:28" x14ac:dyDescent="0.25">
      <c r="A30" s="27" t="str">
        <v>TP12d</v>
      </c>
      <c r="B30" s="27" t="str">
        <v>Réseaux de communication en fibre optique</v>
      </c>
      <c r="C30" s="203">
        <v>2.1133525456292102E-2</v>
      </c>
      <c r="D30" s="204">
        <v>2.4973483752772196E-2</v>
      </c>
    </row>
  </sheetData>
  <conditionalFormatting sqref="D9:D30">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25:D30">
    <cfRule type="colorScale" priority="11">
      <colorScale>
        <cfvo type="min"/>
        <cfvo type="max"/>
        <color theme="4" tint="0.39997558519241921"/>
        <color theme="8" tint="0.79998168889431442"/>
      </colorScale>
    </cfRule>
  </conditionalFormatting>
  <conditionalFormatting sqref="D18:D30">
    <cfRule type="colorScale" priority="10">
      <colorScale>
        <cfvo type="min"/>
        <cfvo type="max"/>
        <color theme="4" tint="0.39997558519241921"/>
        <color theme="0"/>
      </colorScale>
    </cfRule>
  </conditionalFormatting>
  <conditionalFormatting sqref="C8:C30">
    <cfRule type="colorScale" priority="9">
      <colorScale>
        <cfvo type="min"/>
        <cfvo type="percentile" val="50"/>
        <cfvo type="max"/>
        <color theme="4" tint="0.39997558519241921"/>
        <color theme="0"/>
        <color theme="5"/>
      </colorScale>
    </cfRule>
  </conditionalFormatting>
  <conditionalFormatting sqref="C8:D30">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D30"/>
  <sheetViews>
    <sheetView showGridLines="0" topLeftCell="A22" workbookViewId="0">
      <selection activeCell="C40" sqref="C40"/>
    </sheetView>
  </sheetViews>
  <sheetFormatPr baseColWidth="10" defaultRowHeight="15" x14ac:dyDescent="0.25"/>
  <cols>
    <col min="1" max="1" width="7" bestFit="1" customWidth="1"/>
    <col min="2" max="2" width="74.85546875" bestFit="1" customWidth="1"/>
    <col min="3" max="3" width="7" style="209" bestFit="1" customWidth="1"/>
    <col min="4" max="4" width="7.140625" style="209" bestFit="1" customWidth="1"/>
  </cols>
  <sheetData>
    <row r="1" spans="1:4" x14ac:dyDescent="0.25">
      <c r="A1" s="11" t="s">
        <v>179</v>
      </c>
      <c r="B1" s="14"/>
      <c r="C1" s="213"/>
      <c r="D1" s="213"/>
    </row>
    <row r="2" spans="1:4" x14ac:dyDescent="0.25">
      <c r="A2" s="12"/>
      <c r="B2" s="12"/>
      <c r="C2" s="214"/>
      <c r="D2" s="214"/>
    </row>
    <row r="3" spans="1:4" x14ac:dyDescent="0.25">
      <c r="A3" s="13" t="str" cm="1">
        <f t="array" ref="A3:A4">'A MODIFIER'!A7:A8</f>
        <v>*3 mois = Cumul juil 2022-sept 2022 / Cumul avr 2022-juin 2022</v>
      </c>
      <c r="B3" s="28"/>
      <c r="C3" s="214"/>
      <c r="D3" s="214"/>
    </row>
    <row r="4" spans="1:4" x14ac:dyDescent="0.25">
      <c r="A4" s="13" t="str">
        <v>*6 mois = Cumul avr 2022-sept 2022 / Cumul oct 2021-mars 2022</v>
      </c>
      <c r="B4" s="28"/>
      <c r="C4" s="214"/>
      <c r="D4" s="214"/>
    </row>
    <row r="7" spans="1:4" x14ac:dyDescent="0.25">
      <c r="A7" s="27"/>
      <c r="B7" s="24"/>
      <c r="C7" s="210" t="str">
        <f>'A MODIFIER'!A11</f>
        <v>*3 mois</v>
      </c>
      <c r="D7" s="210" t="str">
        <f>'A MODIFIER'!A12</f>
        <v>*6 mois</v>
      </c>
    </row>
    <row r="8" spans="1:4" x14ac:dyDescent="0.25">
      <c r="A8" s="10" t="str" cm="1">
        <f t="array" ref="A8:D30">'3-6 MOIS GLISSANTS'!J9:M31</f>
        <v>TP13</v>
      </c>
      <c r="B8" s="9" t="str">
        <v xml:space="preserve">Charpentes et ouvrages d’art métalliques </v>
      </c>
      <c r="C8" s="210">
        <v>6.6295669005564939E-2</v>
      </c>
      <c r="D8" s="210">
        <v>2.7801179443976309E-2</v>
      </c>
    </row>
    <row r="9" spans="1:4" x14ac:dyDescent="0.25">
      <c r="A9" s="9" t="str">
        <v>TP11</v>
      </c>
      <c r="B9" s="9" t="str">
        <v>Canalisations grandes distances de transport / transfert  avec fourniture de tuyaux</v>
      </c>
      <c r="C9" s="210">
        <v>3.9115187483139913E-2</v>
      </c>
      <c r="D9" s="210">
        <v>9.3605324074074181E-2</v>
      </c>
    </row>
    <row r="10" spans="1:4" x14ac:dyDescent="0.25">
      <c r="A10" s="9" t="str">
        <v>TP12b</v>
      </c>
      <c r="B10" s="9" t="str">
        <v>Éclairage public -Travaux d'installation</v>
      </c>
      <c r="C10" s="210">
        <v>3.628486325480651E-2</v>
      </c>
      <c r="D10" s="210">
        <v>7.3825503355704702E-2</v>
      </c>
    </row>
    <row r="11" spans="1:4" x14ac:dyDescent="0.25">
      <c r="A11" s="9" t="str">
        <v>TP10d</v>
      </c>
      <c r="B11" s="9" t="str">
        <v>Réseaux de chauffage et de froid avec fourniture de tuyaux</v>
      </c>
      <c r="C11" s="210">
        <v>3.1786216596342953E-2</v>
      </c>
      <c r="D11" s="210">
        <v>6.7543600354714739E-2</v>
      </c>
    </row>
    <row r="12" spans="1:4" x14ac:dyDescent="0.25">
      <c r="A12" s="9" t="str">
        <v>TP10a</v>
      </c>
      <c r="B12" s="9" t="str">
        <v xml:space="preserve">Canalisations, assainissement et adduction d’eau avec fourniture de tuyaux </v>
      </c>
      <c r="C12" s="210">
        <v>1.4614343707713084E-2</v>
      </c>
      <c r="D12" s="210">
        <v>4.9189570119802628E-2</v>
      </c>
    </row>
    <row r="13" spans="1:4" x14ac:dyDescent="0.25">
      <c r="A13" s="9" t="str">
        <v>TP03b</v>
      </c>
      <c r="B13" s="9" t="str">
        <v>Travaux à l’explosif</v>
      </c>
      <c r="C13" s="210">
        <v>1.2147984538928736E-2</v>
      </c>
      <c r="D13" s="210">
        <v>6.7995310668229836E-2</v>
      </c>
    </row>
    <row r="14" spans="1:4" x14ac:dyDescent="0.25">
      <c r="A14" s="9" t="str">
        <v>TP03a</v>
      </c>
      <c r="B14" s="9" t="str">
        <v>Grands terrassements</v>
      </c>
      <c r="C14" s="210">
        <v>1.1719814663395889E-2</v>
      </c>
      <c r="D14" s="210">
        <v>5.1724137931034475E-2</v>
      </c>
    </row>
    <row r="15" spans="1:4" x14ac:dyDescent="0.25">
      <c r="A15" s="9" t="str">
        <v>TP14</v>
      </c>
      <c r="B15" s="9" t="str">
        <v>Travaux immergés par scaphandriers</v>
      </c>
      <c r="C15" s="210">
        <v>1.096190737188274E-2</v>
      </c>
      <c r="D15" s="210">
        <v>3.0039303761931535E-2</v>
      </c>
    </row>
    <row r="16" spans="1:4" x14ac:dyDescent="0.25">
      <c r="A16" s="173" t="str">
        <v>TP12d</v>
      </c>
      <c r="B16" s="173" t="str">
        <v>Réseaux de communication en fibre optique</v>
      </c>
      <c r="C16" s="210">
        <v>1.0722347629796847E-2</v>
      </c>
      <c r="D16" s="210">
        <v>2.1941775419475062E-2</v>
      </c>
    </row>
    <row r="17" spans="1:4" x14ac:dyDescent="0.25">
      <c r="A17" s="9" t="str">
        <v>TP12c</v>
      </c>
      <c r="B17" s="9" t="str">
        <v>Éclairage public - Travaux  de maintenance</v>
      </c>
      <c r="C17" s="210">
        <v>1.0446075663466781E-2</v>
      </c>
      <c r="D17" s="210">
        <v>2.2691368662932643E-2</v>
      </c>
    </row>
    <row r="18" spans="1:4" x14ac:dyDescent="0.25">
      <c r="A18" s="9" t="str">
        <v>TP12a</v>
      </c>
      <c r="B18" s="9" t="str">
        <v>Réseaux d'énergie et de communication</v>
      </c>
      <c r="C18" s="210">
        <v>9.7826086956520619E-3</v>
      </c>
      <c r="D18" s="210">
        <v>3.9494026704146146E-2</v>
      </c>
    </row>
    <row r="19" spans="1:4" x14ac:dyDescent="0.25">
      <c r="A19" s="9" t="str">
        <v>TP08</v>
      </c>
      <c r="B19" s="9" t="str">
        <v>Travaux d’aménagement et entretien de voirie</v>
      </c>
      <c r="C19" s="210">
        <v>9.5607235142121105E-3</v>
      </c>
      <c r="D19" s="210">
        <v>8.6780324203465709E-2</v>
      </c>
    </row>
    <row r="20" spans="1:4" x14ac:dyDescent="0.25">
      <c r="A20" s="9" t="str">
        <v>TP09</v>
      </c>
      <c r="B20" s="9" t="str">
        <v>Fabrication et mise en œuvre d’enrobés </v>
      </c>
      <c r="C20" s="210">
        <v>9.1656874265568788E-3</v>
      </c>
      <c r="D20" s="210">
        <v>0.15200107802182994</v>
      </c>
    </row>
    <row r="21" spans="1:4" x14ac:dyDescent="0.25">
      <c r="A21" s="9" t="str">
        <v>TP01</v>
      </c>
      <c r="B21" s="9" t="str">
        <v>Index général tous travaux</v>
      </c>
      <c r="C21" s="210">
        <v>8.8772845953002388E-3</v>
      </c>
      <c r="D21" s="210">
        <v>6.8017767906718429E-2</v>
      </c>
    </row>
    <row r="22" spans="1:4" x14ac:dyDescent="0.25">
      <c r="A22" s="9" t="str">
        <v>TP06b</v>
      </c>
      <c r="B22" s="9" t="str">
        <v>Dragages fluviaux et petits dragages maritimes</v>
      </c>
      <c r="C22" s="210">
        <v>7.475083056478482E-3</v>
      </c>
      <c r="D22" s="210">
        <v>4.6924631822119478E-2</v>
      </c>
    </row>
    <row r="23" spans="1:4" x14ac:dyDescent="0.25">
      <c r="A23" s="9" t="str">
        <v>TP10b</v>
      </c>
      <c r="B23" s="9" t="str">
        <v>Canalisations sans fourniture de tuyaux</v>
      </c>
      <c r="C23" s="210">
        <v>6.5807513024405129E-3</v>
      </c>
      <c r="D23" s="210">
        <v>3.5077793493635046E-2</v>
      </c>
    </row>
    <row r="24" spans="1:4" x14ac:dyDescent="0.25">
      <c r="A24" s="9" t="str">
        <v>TP05b</v>
      </c>
      <c r="B24" s="9" t="str">
        <v xml:space="preserve">Travaux en souterrains avec tunnelier </v>
      </c>
      <c r="C24" s="210">
        <v>7.8968149513025665E-4</v>
      </c>
      <c r="D24" s="210">
        <v>5.0732651368537329E-2</v>
      </c>
    </row>
    <row r="25" spans="1:4" x14ac:dyDescent="0.25">
      <c r="A25" s="9" t="str">
        <v>TP05a</v>
      </c>
      <c r="B25" s="9" t="str">
        <v xml:space="preserve">Travaux en souterrains traditionnels </v>
      </c>
      <c r="C25" s="210">
        <v>0</v>
      </c>
      <c r="D25" s="210">
        <v>5.6108347153123184E-2</v>
      </c>
    </row>
    <row r="26" spans="1:4" x14ac:dyDescent="0.25">
      <c r="A26" s="9" t="str">
        <v>TP02</v>
      </c>
      <c r="B26" s="9" t="str">
        <v>Travaux de génie civil et d’ouvrages d’art neufs ou rénovation</v>
      </c>
      <c r="C26" s="210">
        <v>-3.2786885245903452E-3</v>
      </c>
      <c r="D26" s="210">
        <v>5.531858171154358E-2</v>
      </c>
    </row>
    <row r="27" spans="1:4" x14ac:dyDescent="0.25">
      <c r="A27" s="9" t="str">
        <v>TP06a</v>
      </c>
      <c r="B27" s="9" t="str">
        <v>Grands dragages maritimes </v>
      </c>
      <c r="C27" s="210">
        <v>-6.5885797950220315E-3</v>
      </c>
      <c r="D27" s="210">
        <v>9.0072057646116921E-2</v>
      </c>
    </row>
    <row r="28" spans="1:4" x14ac:dyDescent="0.25">
      <c r="A28" s="9" t="str">
        <v>TP10c</v>
      </c>
      <c r="B28" s="9" t="str">
        <v>Réhabilitation de canalisations non visitables</v>
      </c>
      <c r="C28" s="210">
        <v>-7.7034183919113541E-3</v>
      </c>
      <c r="D28" s="210">
        <v>7.1881880585416225E-2</v>
      </c>
    </row>
    <row r="29" spans="1:4" x14ac:dyDescent="0.25">
      <c r="A29" s="9" t="str">
        <v>TP04</v>
      </c>
      <c r="B29" s="9" t="str">
        <v xml:space="preserve">Fondations et travaux géotechniques </v>
      </c>
      <c r="C29" s="210">
        <v>-9.0135202804206838E-3</v>
      </c>
      <c r="D29" s="210">
        <v>7.2420768712069927E-2</v>
      </c>
    </row>
    <row r="30" spans="1:4" x14ac:dyDescent="0.25">
      <c r="A30" s="9" t="str">
        <v>TP07b</v>
      </c>
      <c r="B30" s="9" t="str">
        <v>Travaux de génie civil, béton et acier pour ouvrages maritimes</v>
      </c>
      <c r="C30" s="210">
        <v>-1.8692575773576747E-2</v>
      </c>
      <c r="D30" s="210">
        <v>0.12502998320940284</v>
      </c>
    </row>
  </sheetData>
  <conditionalFormatting sqref="D8:D30">
    <cfRule type="colorScale" priority="2">
      <colorScale>
        <cfvo type="min"/>
        <cfvo type="percentile" val="50"/>
        <cfvo type="max"/>
        <color theme="5" tint="0.39997558519241921"/>
        <color theme="0"/>
        <color theme="9"/>
      </colorScale>
    </cfRule>
  </conditionalFormatting>
  <conditionalFormatting sqref="C8:C30">
    <cfRule type="colorScale" priority="1">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X127"/>
  <sheetViews>
    <sheetView workbookViewId="0">
      <pane xSplit="1" ySplit="3" topLeftCell="S97" activePane="bottomRight" state="frozen"/>
      <selection activeCell="B21" sqref="B21"/>
      <selection pane="topRight" activeCell="B21" sqref="B21"/>
      <selection pane="bottomLeft" activeCell="B21" sqref="B21"/>
      <selection pane="bottomRight" activeCell="T100" sqref="T100"/>
    </sheetView>
  </sheetViews>
  <sheetFormatPr baseColWidth="10" defaultRowHeight="15" x14ac:dyDescent="0.25"/>
  <sheetData>
    <row r="1" spans="1:24" x14ac:dyDescent="0.25">
      <c r="B1" t="s">
        <v>0</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row>
    <row r="2" spans="1:24" x14ac:dyDescent="0.25">
      <c r="B2" t="s">
        <v>23</v>
      </c>
      <c r="C2" t="s">
        <v>23</v>
      </c>
      <c r="D2" t="s">
        <v>23</v>
      </c>
      <c r="E2" t="s">
        <v>23</v>
      </c>
      <c r="F2" t="s">
        <v>23</v>
      </c>
      <c r="G2" t="s">
        <v>23</v>
      </c>
      <c r="H2" t="s">
        <v>23</v>
      </c>
      <c r="I2" t="s">
        <v>23</v>
      </c>
      <c r="J2" t="s">
        <v>23</v>
      </c>
      <c r="K2" t="s">
        <v>23</v>
      </c>
      <c r="L2" t="s">
        <v>23</v>
      </c>
      <c r="M2" t="s">
        <v>23</v>
      </c>
      <c r="N2" t="s">
        <v>23</v>
      </c>
      <c r="O2" t="s">
        <v>23</v>
      </c>
      <c r="P2" t="s">
        <v>23</v>
      </c>
      <c r="Q2" t="s">
        <v>23</v>
      </c>
      <c r="R2" t="s">
        <v>23</v>
      </c>
      <c r="S2" t="s">
        <v>23</v>
      </c>
      <c r="T2" t="s">
        <v>23</v>
      </c>
      <c r="U2" t="s">
        <v>23</v>
      </c>
      <c r="V2" t="s">
        <v>23</v>
      </c>
      <c r="W2" t="s">
        <v>23</v>
      </c>
      <c r="X2" t="s">
        <v>23</v>
      </c>
    </row>
    <row r="3" spans="1:24" x14ac:dyDescent="0.25">
      <c r="B3" s="44" t="str">
        <f>HYPERLINK('CUMULS INDEX'!B3,'CUMULS INDEX'!B4)</f>
        <v>TP01</v>
      </c>
      <c r="C3" s="44" t="str">
        <f>HYPERLINK('CUMULS INDEX'!C3,'CUMULS INDEX'!C4)</f>
        <v>TP02</v>
      </c>
      <c r="D3" s="44" t="str">
        <f>HYPERLINK('CUMULS INDEX'!D3,'CUMULS INDEX'!D4)</f>
        <v>TP03a</v>
      </c>
      <c r="E3" s="44" t="str">
        <f>HYPERLINK('CUMULS INDEX'!E3,'CUMULS INDEX'!E4)</f>
        <v>TP03b</v>
      </c>
      <c r="F3" s="44" t="str">
        <f>HYPERLINK('CUMULS INDEX'!F3,'CUMULS INDEX'!F4)</f>
        <v>TP04</v>
      </c>
      <c r="G3" s="44" t="str">
        <f>HYPERLINK('CUMULS INDEX'!G3,'CUMULS INDEX'!G4)</f>
        <v>TP05a</v>
      </c>
      <c r="H3" s="44" t="str">
        <f>HYPERLINK('CUMULS INDEX'!H3,'CUMULS INDEX'!H4)</f>
        <v>TP05b</v>
      </c>
      <c r="I3" s="44" t="str">
        <f>HYPERLINK('CUMULS INDEX'!I3,'CUMULS INDEX'!I4)</f>
        <v>TP06a</v>
      </c>
      <c r="J3" s="44" t="str">
        <f>HYPERLINK('CUMULS INDEX'!J3,'CUMULS INDEX'!J4)</f>
        <v>TP06b</v>
      </c>
      <c r="K3" s="44" t="str">
        <f>HYPERLINK('CUMULS INDEX'!K3,'CUMULS INDEX'!K4)</f>
        <v>TP07b</v>
      </c>
      <c r="L3" s="44" t="str">
        <f>HYPERLINK('CUMULS INDEX'!L3,'CUMULS INDEX'!L4)</f>
        <v>TP08</v>
      </c>
      <c r="M3" s="44" t="str">
        <f>HYPERLINK('CUMULS INDEX'!M3,'CUMULS INDEX'!M4)</f>
        <v>TP09</v>
      </c>
      <c r="N3" s="44" t="str">
        <f>HYPERLINK('CUMULS INDEX'!N3,'CUMULS INDEX'!N4)</f>
        <v>TP10a</v>
      </c>
      <c r="O3" s="44" t="str">
        <f>HYPERLINK('CUMULS INDEX'!O3,'CUMULS INDEX'!O4)</f>
        <v>TP10b</v>
      </c>
      <c r="P3" s="44" t="str">
        <f>HYPERLINK('CUMULS INDEX'!P3,'CUMULS INDEX'!P4)</f>
        <v>TP10c</v>
      </c>
      <c r="Q3" s="44" t="str">
        <f>HYPERLINK('CUMULS INDEX'!Q3,'CUMULS INDEX'!Q4)</f>
        <v>TP10d</v>
      </c>
      <c r="R3" s="44" t="str">
        <f>HYPERLINK('CUMULS INDEX'!R3,'CUMULS INDEX'!R4)</f>
        <v>TP11</v>
      </c>
      <c r="S3" s="44" t="str">
        <f>HYPERLINK('CUMULS INDEX'!S3,'CUMULS INDEX'!S4)</f>
        <v>TP12a</v>
      </c>
      <c r="T3" s="44" t="str">
        <f>HYPERLINK('CUMULS INDEX'!T3,'CUMULS INDEX'!T4)</f>
        <v>TP12b</v>
      </c>
      <c r="U3" s="44" t="str">
        <f>HYPERLINK('CUMULS INDEX'!U3,'CUMULS INDEX'!U4)</f>
        <v>TP12c</v>
      </c>
      <c r="V3" s="44" t="str">
        <f>HYPERLINK('CUMULS INDEX'!V3,'CUMULS INDEX'!V4)</f>
        <v>TP12d</v>
      </c>
      <c r="W3" s="44" t="str">
        <f>HYPERLINK('CUMULS INDEX'!W3,'CUMULS INDEX'!W4)</f>
        <v>TP13</v>
      </c>
      <c r="X3" s="44" t="str">
        <f>HYPERLINK('CUMULS INDEX'!X3,'CUMULS INDEX'!X4)</f>
        <v>TP14</v>
      </c>
    </row>
    <row r="4" spans="1:24" x14ac:dyDescent="0.25">
      <c r="A4" s="1">
        <v>41913</v>
      </c>
      <c r="B4">
        <v>106.5</v>
      </c>
      <c r="C4">
        <v>106.4</v>
      </c>
      <c r="D4">
        <v>105.8</v>
      </c>
      <c r="E4">
        <v>103.3</v>
      </c>
      <c r="F4">
        <v>105.4</v>
      </c>
      <c r="G4">
        <v>105</v>
      </c>
      <c r="H4">
        <v>105</v>
      </c>
      <c r="I4">
        <v>104.6</v>
      </c>
      <c r="J4">
        <v>104.7</v>
      </c>
      <c r="K4">
        <v>99.9</v>
      </c>
      <c r="L4">
        <v>107.1</v>
      </c>
      <c r="M4">
        <v>108.6</v>
      </c>
      <c r="N4">
        <v>106.5</v>
      </c>
      <c r="O4">
        <v>107</v>
      </c>
      <c r="P4">
        <v>106.9</v>
      </c>
      <c r="Q4" t="e">
        <v>#N/A</v>
      </c>
      <c r="R4">
        <v>105.4</v>
      </c>
      <c r="S4">
        <v>106.3</v>
      </c>
      <c r="T4">
        <v>106.5</v>
      </c>
      <c r="U4">
        <v>107.2</v>
      </c>
      <c r="V4" t="s">
        <v>47</v>
      </c>
      <c r="W4">
        <v>103.9</v>
      </c>
      <c r="X4">
        <v>106.9</v>
      </c>
    </row>
    <row r="5" spans="1:24" x14ac:dyDescent="0.25">
      <c r="A5" s="1">
        <f>EDATE(A4,1)</f>
        <v>41944</v>
      </c>
      <c r="B5">
        <v>105.6</v>
      </c>
      <c r="C5">
        <v>106</v>
      </c>
      <c r="D5">
        <v>105.4</v>
      </c>
      <c r="E5">
        <v>103</v>
      </c>
      <c r="F5">
        <v>104.8</v>
      </c>
      <c r="G5">
        <v>104.5</v>
      </c>
      <c r="H5">
        <v>104.5</v>
      </c>
      <c r="I5">
        <v>102.1</v>
      </c>
      <c r="J5">
        <v>104.1</v>
      </c>
      <c r="K5">
        <v>99.2</v>
      </c>
      <c r="L5">
        <v>105.5</v>
      </c>
      <c r="M5">
        <v>104.7</v>
      </c>
      <c r="N5">
        <v>106.4</v>
      </c>
      <c r="O5">
        <v>106.8</v>
      </c>
      <c r="P5">
        <v>106</v>
      </c>
      <c r="Q5" t="e">
        <v>#N/A</v>
      </c>
      <c r="R5">
        <v>105.2</v>
      </c>
      <c r="S5">
        <v>106.2</v>
      </c>
      <c r="T5">
        <v>105.9</v>
      </c>
      <c r="U5">
        <v>106.8</v>
      </c>
      <c r="V5" t="s">
        <v>47</v>
      </c>
      <c r="W5">
        <v>103.9</v>
      </c>
      <c r="X5">
        <v>106.6</v>
      </c>
    </row>
    <row r="6" spans="1:24" x14ac:dyDescent="0.25">
      <c r="A6" s="1">
        <f t="shared" ref="A6:A69" si="0">EDATE(A5,1)</f>
        <v>41974</v>
      </c>
      <c r="B6">
        <v>104.1</v>
      </c>
      <c r="C6">
        <v>105.7</v>
      </c>
      <c r="D6">
        <v>104.2</v>
      </c>
      <c r="E6">
        <v>101.3</v>
      </c>
      <c r="F6">
        <v>103.8</v>
      </c>
      <c r="G6">
        <v>103.8</v>
      </c>
      <c r="H6">
        <v>103.9</v>
      </c>
      <c r="I6">
        <v>97.6</v>
      </c>
      <c r="J6">
        <v>102.2</v>
      </c>
      <c r="K6">
        <v>98.3</v>
      </c>
      <c r="L6">
        <v>103.2</v>
      </c>
      <c r="M6">
        <v>99.3</v>
      </c>
      <c r="N6">
        <v>105.7</v>
      </c>
      <c r="O6">
        <v>106.4</v>
      </c>
      <c r="P6">
        <v>104.5</v>
      </c>
      <c r="Q6" t="e">
        <v>#N/A</v>
      </c>
      <c r="R6">
        <v>103.7</v>
      </c>
      <c r="S6">
        <v>105.9</v>
      </c>
      <c r="T6">
        <v>105.7</v>
      </c>
      <c r="U6">
        <v>106.6</v>
      </c>
      <c r="V6" t="s">
        <v>47</v>
      </c>
      <c r="W6">
        <v>103.1</v>
      </c>
      <c r="X6">
        <v>106</v>
      </c>
    </row>
    <row r="7" spans="1:24" x14ac:dyDescent="0.25">
      <c r="A7" s="1">
        <f t="shared" si="0"/>
        <v>42005</v>
      </c>
      <c r="B7">
        <v>102.8</v>
      </c>
      <c r="C7">
        <v>105.8</v>
      </c>
      <c r="D7">
        <v>104.2</v>
      </c>
      <c r="E7">
        <v>102.3</v>
      </c>
      <c r="F7">
        <v>103.7</v>
      </c>
      <c r="G7">
        <v>104.1</v>
      </c>
      <c r="H7">
        <v>104.2</v>
      </c>
      <c r="I7">
        <v>98.7</v>
      </c>
      <c r="J7">
        <v>102.2</v>
      </c>
      <c r="K7">
        <v>97.5</v>
      </c>
      <c r="L7">
        <v>100.6</v>
      </c>
      <c r="M7">
        <v>92.5</v>
      </c>
      <c r="N7">
        <v>105.6</v>
      </c>
      <c r="O7">
        <v>106.6</v>
      </c>
      <c r="P7">
        <v>102.9</v>
      </c>
      <c r="Q7" t="e">
        <v>#N/A</v>
      </c>
      <c r="R7">
        <v>103.1</v>
      </c>
      <c r="S7">
        <v>105.7</v>
      </c>
      <c r="T7">
        <v>105.4</v>
      </c>
      <c r="U7">
        <v>106.6</v>
      </c>
      <c r="V7" t="s">
        <v>47</v>
      </c>
      <c r="W7">
        <v>102.9</v>
      </c>
      <c r="X7">
        <v>105.8</v>
      </c>
    </row>
    <row r="8" spans="1:24" x14ac:dyDescent="0.25">
      <c r="A8" s="1">
        <f t="shared" si="0"/>
        <v>42036</v>
      </c>
      <c r="B8">
        <v>103</v>
      </c>
      <c r="C8">
        <v>105.7</v>
      </c>
      <c r="D8">
        <v>104.9</v>
      </c>
      <c r="E8">
        <v>103</v>
      </c>
      <c r="F8">
        <v>104.1</v>
      </c>
      <c r="G8">
        <v>104.3</v>
      </c>
      <c r="H8">
        <v>104.5</v>
      </c>
      <c r="I8">
        <v>102.2</v>
      </c>
      <c r="J8">
        <v>103.4</v>
      </c>
      <c r="K8">
        <v>97.8</v>
      </c>
      <c r="L8">
        <v>100.8</v>
      </c>
      <c r="M8">
        <v>92.2</v>
      </c>
      <c r="N8">
        <v>105.6</v>
      </c>
      <c r="O8">
        <v>106.8</v>
      </c>
      <c r="P8">
        <v>101.9</v>
      </c>
      <c r="Q8" t="e">
        <v>#N/A</v>
      </c>
      <c r="R8">
        <v>102.6</v>
      </c>
      <c r="S8">
        <v>105.9</v>
      </c>
      <c r="T8">
        <v>104.7</v>
      </c>
      <c r="U8">
        <v>106.7</v>
      </c>
      <c r="V8" t="s">
        <v>47</v>
      </c>
      <c r="W8">
        <v>103.1</v>
      </c>
      <c r="X8">
        <v>106.4</v>
      </c>
    </row>
    <row r="9" spans="1:24" x14ac:dyDescent="0.25">
      <c r="A9" s="1">
        <f t="shared" si="0"/>
        <v>42064</v>
      </c>
      <c r="B9">
        <v>103.5</v>
      </c>
      <c r="C9">
        <v>105.8</v>
      </c>
      <c r="D9">
        <v>104.9</v>
      </c>
      <c r="E9">
        <v>103.7</v>
      </c>
      <c r="F9">
        <v>104.2</v>
      </c>
      <c r="G9">
        <v>104.4</v>
      </c>
      <c r="H9">
        <v>104.6</v>
      </c>
      <c r="I9">
        <v>101.8</v>
      </c>
      <c r="J9">
        <v>103.6</v>
      </c>
      <c r="K9">
        <v>98.4</v>
      </c>
      <c r="L9">
        <v>101.6</v>
      </c>
      <c r="M9">
        <v>94.3</v>
      </c>
      <c r="N9">
        <v>105.7</v>
      </c>
      <c r="O9">
        <v>106.9</v>
      </c>
      <c r="P9">
        <v>102.8</v>
      </c>
      <c r="Q9" t="e">
        <v>#N/A</v>
      </c>
      <c r="R9">
        <v>102.6</v>
      </c>
      <c r="S9">
        <v>105.9</v>
      </c>
      <c r="T9">
        <v>105.4</v>
      </c>
      <c r="U9">
        <v>107</v>
      </c>
      <c r="V9" t="s">
        <v>47</v>
      </c>
      <c r="W9">
        <v>103.2</v>
      </c>
      <c r="X9">
        <v>106.7</v>
      </c>
    </row>
    <row r="10" spans="1:24" x14ac:dyDescent="0.25">
      <c r="A10" s="1">
        <f t="shared" si="0"/>
        <v>42095</v>
      </c>
      <c r="B10">
        <v>103.6</v>
      </c>
      <c r="C10">
        <v>105.9</v>
      </c>
      <c r="D10">
        <v>105</v>
      </c>
      <c r="E10">
        <v>103.7</v>
      </c>
      <c r="F10">
        <v>104.2</v>
      </c>
      <c r="G10">
        <v>104.6</v>
      </c>
      <c r="H10">
        <v>104.7</v>
      </c>
      <c r="I10">
        <v>104.3</v>
      </c>
      <c r="J10">
        <v>103.8</v>
      </c>
      <c r="K10">
        <v>98.5</v>
      </c>
      <c r="L10">
        <v>101.5</v>
      </c>
      <c r="M10">
        <v>94.6</v>
      </c>
      <c r="N10">
        <v>105.8</v>
      </c>
      <c r="O10">
        <v>106.8</v>
      </c>
      <c r="P10">
        <v>103.6</v>
      </c>
      <c r="Q10" t="e">
        <v>#N/A</v>
      </c>
      <c r="R10">
        <v>102.8</v>
      </c>
      <c r="S10">
        <v>105.9</v>
      </c>
      <c r="T10">
        <v>105.4</v>
      </c>
      <c r="U10">
        <v>107.1</v>
      </c>
      <c r="V10" t="s">
        <v>47</v>
      </c>
      <c r="W10">
        <v>103.2</v>
      </c>
      <c r="X10">
        <v>106.7</v>
      </c>
    </row>
    <row r="11" spans="1:24" x14ac:dyDescent="0.25">
      <c r="A11" s="1">
        <f t="shared" si="0"/>
        <v>42125</v>
      </c>
      <c r="B11">
        <v>104.1</v>
      </c>
      <c r="C11">
        <v>106.1</v>
      </c>
      <c r="D11">
        <v>105.6</v>
      </c>
      <c r="E11">
        <v>103.9</v>
      </c>
      <c r="F11">
        <v>104.8</v>
      </c>
      <c r="G11">
        <v>104.7</v>
      </c>
      <c r="H11">
        <v>104.9</v>
      </c>
      <c r="I11">
        <v>104</v>
      </c>
      <c r="J11">
        <v>104.5</v>
      </c>
      <c r="K11">
        <v>98.4</v>
      </c>
      <c r="L11">
        <v>102.3</v>
      </c>
      <c r="M11">
        <v>96</v>
      </c>
      <c r="N11">
        <v>105.9</v>
      </c>
      <c r="O11">
        <v>107.2</v>
      </c>
      <c r="P11">
        <v>107.4</v>
      </c>
      <c r="Q11" t="e">
        <v>#N/A</v>
      </c>
      <c r="R11">
        <v>102.3</v>
      </c>
      <c r="S11">
        <v>106.2</v>
      </c>
      <c r="T11">
        <v>104.8</v>
      </c>
      <c r="U11">
        <v>107</v>
      </c>
      <c r="V11" t="s">
        <v>47</v>
      </c>
      <c r="W11">
        <v>103.1</v>
      </c>
      <c r="X11">
        <v>106.9</v>
      </c>
    </row>
    <row r="12" spans="1:24" x14ac:dyDescent="0.25">
      <c r="A12" s="1">
        <f t="shared" si="0"/>
        <v>42156</v>
      </c>
      <c r="B12">
        <v>104.1</v>
      </c>
      <c r="C12">
        <v>106</v>
      </c>
      <c r="D12">
        <v>105.3</v>
      </c>
      <c r="E12">
        <v>103.7</v>
      </c>
      <c r="F12">
        <v>104.5</v>
      </c>
      <c r="G12">
        <v>104.5</v>
      </c>
      <c r="H12">
        <v>104.7</v>
      </c>
      <c r="I12">
        <v>103.5</v>
      </c>
      <c r="J12">
        <v>104</v>
      </c>
      <c r="K12">
        <v>97.7</v>
      </c>
      <c r="L12">
        <v>102.7</v>
      </c>
      <c r="M12">
        <v>97.4</v>
      </c>
      <c r="N12">
        <v>105.6</v>
      </c>
      <c r="O12">
        <v>106.9</v>
      </c>
      <c r="P12">
        <v>108</v>
      </c>
      <c r="Q12" t="e">
        <v>#N/A</v>
      </c>
      <c r="R12">
        <v>101.8</v>
      </c>
      <c r="S12">
        <v>106.2</v>
      </c>
      <c r="T12">
        <v>104.8</v>
      </c>
      <c r="U12">
        <v>106.9</v>
      </c>
      <c r="V12" t="s">
        <v>47</v>
      </c>
      <c r="W12">
        <v>102.8</v>
      </c>
      <c r="X12">
        <v>106.9</v>
      </c>
    </row>
    <row r="13" spans="1:24" x14ac:dyDescent="0.25">
      <c r="A13" s="1">
        <f t="shared" si="0"/>
        <v>42186</v>
      </c>
      <c r="B13">
        <v>103.6</v>
      </c>
      <c r="C13">
        <v>106.2</v>
      </c>
      <c r="D13">
        <v>104.9</v>
      </c>
      <c r="E13">
        <v>103.2</v>
      </c>
      <c r="F13">
        <v>104.2</v>
      </c>
      <c r="G13">
        <v>104.4</v>
      </c>
      <c r="H13">
        <v>104.7</v>
      </c>
      <c r="I13">
        <v>101.4</v>
      </c>
      <c r="J13">
        <v>103.4</v>
      </c>
      <c r="K13">
        <v>97.6</v>
      </c>
      <c r="L13">
        <v>102.1</v>
      </c>
      <c r="M13">
        <v>95.7</v>
      </c>
      <c r="N13">
        <v>106</v>
      </c>
      <c r="O13">
        <v>106.9</v>
      </c>
      <c r="P13">
        <v>108.4</v>
      </c>
      <c r="Q13" t="e">
        <v>#N/A</v>
      </c>
      <c r="R13">
        <v>101.8</v>
      </c>
      <c r="S13">
        <v>106.2</v>
      </c>
      <c r="T13">
        <v>104.3</v>
      </c>
      <c r="U13">
        <v>106.8</v>
      </c>
      <c r="V13" t="s">
        <v>47</v>
      </c>
      <c r="W13">
        <v>102.8</v>
      </c>
      <c r="X13">
        <v>106.9</v>
      </c>
    </row>
    <row r="14" spans="1:24" x14ac:dyDescent="0.25">
      <c r="A14" s="1">
        <f t="shared" si="0"/>
        <v>42217</v>
      </c>
      <c r="B14">
        <v>102.9</v>
      </c>
      <c r="C14">
        <v>106.2</v>
      </c>
      <c r="D14">
        <v>104.4</v>
      </c>
      <c r="E14">
        <v>102.7</v>
      </c>
      <c r="F14">
        <v>103.7</v>
      </c>
      <c r="G14">
        <v>104.4</v>
      </c>
      <c r="H14">
        <v>104.6</v>
      </c>
      <c r="I14">
        <v>98.7</v>
      </c>
      <c r="J14">
        <v>102.3</v>
      </c>
      <c r="K14">
        <v>97.7</v>
      </c>
      <c r="L14">
        <v>101</v>
      </c>
      <c r="M14">
        <v>93</v>
      </c>
      <c r="N14">
        <v>105.9</v>
      </c>
      <c r="O14">
        <v>106.9</v>
      </c>
      <c r="P14">
        <v>107</v>
      </c>
      <c r="Q14" t="e">
        <v>#N/A</v>
      </c>
      <c r="R14">
        <v>101.4</v>
      </c>
      <c r="S14">
        <v>105.9</v>
      </c>
      <c r="T14">
        <v>104.1</v>
      </c>
      <c r="U14">
        <v>106.8</v>
      </c>
      <c r="V14" t="s">
        <v>47</v>
      </c>
      <c r="W14">
        <v>102.3</v>
      </c>
      <c r="X14">
        <v>106.6</v>
      </c>
    </row>
    <row r="15" spans="1:24" x14ac:dyDescent="0.25">
      <c r="A15" s="1">
        <f t="shared" si="0"/>
        <v>42248</v>
      </c>
      <c r="B15">
        <v>101.9</v>
      </c>
      <c r="C15">
        <v>105.6</v>
      </c>
      <c r="D15">
        <v>104.2</v>
      </c>
      <c r="E15">
        <v>102.7</v>
      </c>
      <c r="F15">
        <v>103.2</v>
      </c>
      <c r="G15">
        <v>103.5</v>
      </c>
      <c r="H15">
        <v>103.8</v>
      </c>
      <c r="I15">
        <v>98.2</v>
      </c>
      <c r="J15">
        <v>102.2</v>
      </c>
      <c r="K15">
        <v>96.7</v>
      </c>
      <c r="L15">
        <v>99.4</v>
      </c>
      <c r="M15">
        <v>89.2</v>
      </c>
      <c r="N15">
        <v>105.4</v>
      </c>
      <c r="O15">
        <v>106.5</v>
      </c>
      <c r="P15">
        <v>105.2</v>
      </c>
      <c r="Q15" t="e">
        <v>#N/A</v>
      </c>
      <c r="R15">
        <v>100.6</v>
      </c>
      <c r="S15">
        <v>105.5</v>
      </c>
      <c r="T15">
        <v>103.8</v>
      </c>
      <c r="U15">
        <v>106.6</v>
      </c>
      <c r="V15" t="s">
        <v>47</v>
      </c>
      <c r="W15">
        <v>101.7</v>
      </c>
      <c r="X15">
        <v>106</v>
      </c>
    </row>
    <row r="16" spans="1:24" x14ac:dyDescent="0.25">
      <c r="A16" s="1">
        <f t="shared" si="0"/>
        <v>42278</v>
      </c>
      <c r="B16">
        <v>101.7</v>
      </c>
      <c r="C16">
        <v>105.2</v>
      </c>
      <c r="D16">
        <v>104</v>
      </c>
      <c r="E16">
        <v>102.6</v>
      </c>
      <c r="F16">
        <v>102.7</v>
      </c>
      <c r="G16">
        <v>103.3</v>
      </c>
      <c r="H16">
        <v>103.6</v>
      </c>
      <c r="I16">
        <v>98.5</v>
      </c>
      <c r="J16">
        <v>102</v>
      </c>
      <c r="K16">
        <v>96.1</v>
      </c>
      <c r="L16">
        <v>99</v>
      </c>
      <c r="M16">
        <v>88.4</v>
      </c>
      <c r="N16">
        <v>105.5</v>
      </c>
      <c r="O16">
        <v>106.5</v>
      </c>
      <c r="P16">
        <v>103.8</v>
      </c>
      <c r="Q16" t="e">
        <v>#N/A</v>
      </c>
      <c r="R16">
        <v>100.7</v>
      </c>
      <c r="S16">
        <v>105.5</v>
      </c>
      <c r="T16">
        <v>103.6</v>
      </c>
      <c r="U16">
        <v>106.7</v>
      </c>
      <c r="V16" t="s">
        <v>47</v>
      </c>
      <c r="W16">
        <v>101.6</v>
      </c>
      <c r="X16">
        <v>105.9</v>
      </c>
    </row>
    <row r="17" spans="1:24" x14ac:dyDescent="0.25">
      <c r="A17" s="1">
        <f t="shared" si="0"/>
        <v>42309</v>
      </c>
      <c r="B17">
        <v>101.6</v>
      </c>
      <c r="C17">
        <v>105.2</v>
      </c>
      <c r="D17">
        <v>104.2</v>
      </c>
      <c r="E17">
        <v>102.7</v>
      </c>
      <c r="F17">
        <v>102.7</v>
      </c>
      <c r="G17">
        <v>103.2</v>
      </c>
      <c r="H17">
        <v>103.7</v>
      </c>
      <c r="I17">
        <v>98.6</v>
      </c>
      <c r="J17">
        <v>102.4</v>
      </c>
      <c r="K17">
        <v>94.7</v>
      </c>
      <c r="L17">
        <v>98.8</v>
      </c>
      <c r="M17">
        <v>87.8</v>
      </c>
      <c r="N17">
        <v>105.8</v>
      </c>
      <c r="O17">
        <v>106.7</v>
      </c>
      <c r="P17">
        <v>104.2</v>
      </c>
      <c r="Q17" t="e">
        <v>#N/A</v>
      </c>
      <c r="R17">
        <v>101.1</v>
      </c>
      <c r="S17">
        <v>105.3</v>
      </c>
      <c r="T17">
        <v>103</v>
      </c>
      <c r="U17">
        <v>106.6</v>
      </c>
      <c r="V17" t="s">
        <v>47</v>
      </c>
      <c r="W17">
        <v>101.6</v>
      </c>
      <c r="X17">
        <v>106</v>
      </c>
    </row>
    <row r="18" spans="1:24" x14ac:dyDescent="0.25">
      <c r="A18" s="1">
        <f t="shared" si="0"/>
        <v>42339</v>
      </c>
      <c r="B18">
        <v>100.8</v>
      </c>
      <c r="C18">
        <v>104.5</v>
      </c>
      <c r="D18">
        <v>103.2</v>
      </c>
      <c r="E18">
        <v>101.6</v>
      </c>
      <c r="F18">
        <v>101.4</v>
      </c>
      <c r="G18">
        <v>102.5</v>
      </c>
      <c r="H18">
        <v>103</v>
      </c>
      <c r="I18">
        <v>95.2</v>
      </c>
      <c r="J18">
        <v>100.6</v>
      </c>
      <c r="K18">
        <v>92.9</v>
      </c>
      <c r="L18">
        <v>97.9</v>
      </c>
      <c r="M18">
        <v>86.2</v>
      </c>
      <c r="N18">
        <v>105.2</v>
      </c>
      <c r="O18">
        <v>106.5</v>
      </c>
      <c r="P18">
        <v>104.1</v>
      </c>
      <c r="Q18" t="e">
        <v>#N/A</v>
      </c>
      <c r="R18">
        <v>99.9</v>
      </c>
      <c r="S18">
        <v>105.1</v>
      </c>
      <c r="T18">
        <v>103.2</v>
      </c>
      <c r="U18">
        <v>106.5</v>
      </c>
      <c r="V18" t="s">
        <v>47</v>
      </c>
      <c r="W18">
        <v>100.8</v>
      </c>
      <c r="X18">
        <v>105.7</v>
      </c>
    </row>
    <row r="19" spans="1:24" x14ac:dyDescent="0.25">
      <c r="A19" s="1">
        <f t="shared" si="0"/>
        <v>42370</v>
      </c>
      <c r="B19">
        <v>100.2</v>
      </c>
      <c r="C19">
        <v>104.1</v>
      </c>
      <c r="D19">
        <v>103.3</v>
      </c>
      <c r="E19">
        <v>101.6</v>
      </c>
      <c r="F19">
        <v>100.9</v>
      </c>
      <c r="G19">
        <v>102.1</v>
      </c>
      <c r="H19">
        <v>102.7</v>
      </c>
      <c r="I19">
        <v>96.3</v>
      </c>
      <c r="J19">
        <v>100.6</v>
      </c>
      <c r="K19">
        <v>91.5</v>
      </c>
      <c r="L19">
        <v>96.7</v>
      </c>
      <c r="M19">
        <v>83.2</v>
      </c>
      <c r="N19">
        <v>105.2</v>
      </c>
      <c r="O19">
        <v>106.5</v>
      </c>
      <c r="P19">
        <v>103.9</v>
      </c>
      <c r="Q19" t="e">
        <v>#N/A</v>
      </c>
      <c r="R19">
        <v>100.8</v>
      </c>
      <c r="S19">
        <v>105.2</v>
      </c>
      <c r="T19">
        <v>103.7</v>
      </c>
      <c r="U19">
        <v>106.5</v>
      </c>
      <c r="V19" t="s">
        <v>47</v>
      </c>
      <c r="W19">
        <v>100.6</v>
      </c>
      <c r="X19">
        <v>105.5</v>
      </c>
    </row>
    <row r="20" spans="1:24" x14ac:dyDescent="0.25">
      <c r="A20" s="1">
        <f t="shared" si="0"/>
        <v>42401</v>
      </c>
      <c r="B20">
        <v>100</v>
      </c>
      <c r="C20">
        <v>103.6</v>
      </c>
      <c r="D20">
        <v>103.3</v>
      </c>
      <c r="E20">
        <v>101.7</v>
      </c>
      <c r="F20">
        <v>100.4</v>
      </c>
      <c r="G20">
        <v>101.8</v>
      </c>
      <c r="H20">
        <v>102.4</v>
      </c>
      <c r="I20">
        <v>96.1</v>
      </c>
      <c r="J20">
        <v>100.6</v>
      </c>
      <c r="K20">
        <v>91.1</v>
      </c>
      <c r="L20">
        <v>96.4</v>
      </c>
      <c r="M20">
        <v>82.6</v>
      </c>
      <c r="N20">
        <v>105.1</v>
      </c>
      <c r="O20">
        <v>106.5</v>
      </c>
      <c r="P20">
        <v>103.1</v>
      </c>
      <c r="Q20" t="e">
        <v>#N/A</v>
      </c>
      <c r="R20">
        <v>100.7</v>
      </c>
      <c r="S20">
        <v>104.7</v>
      </c>
      <c r="T20">
        <v>103.6</v>
      </c>
      <c r="U20">
        <v>106.6</v>
      </c>
      <c r="V20" t="s">
        <v>47</v>
      </c>
      <c r="W20">
        <v>100.9</v>
      </c>
      <c r="X20">
        <v>105.6</v>
      </c>
    </row>
    <row r="21" spans="1:24" x14ac:dyDescent="0.25">
      <c r="A21" s="1">
        <f t="shared" si="0"/>
        <v>42430</v>
      </c>
      <c r="B21">
        <v>100.3</v>
      </c>
      <c r="C21">
        <v>103.6</v>
      </c>
      <c r="D21">
        <v>103.6</v>
      </c>
      <c r="E21">
        <v>102.3</v>
      </c>
      <c r="F21">
        <v>100.7</v>
      </c>
      <c r="G21">
        <v>101.7</v>
      </c>
      <c r="H21">
        <v>102.4</v>
      </c>
      <c r="I21">
        <v>96.8</v>
      </c>
      <c r="J21">
        <v>101.5</v>
      </c>
      <c r="K21">
        <v>91.1</v>
      </c>
      <c r="L21">
        <v>96.5</v>
      </c>
      <c r="M21">
        <v>82.8</v>
      </c>
      <c r="N21">
        <v>105.1</v>
      </c>
      <c r="O21">
        <v>106.5</v>
      </c>
      <c r="P21">
        <v>103</v>
      </c>
      <c r="Q21" t="e">
        <v>#N/A</v>
      </c>
      <c r="R21">
        <v>99.7</v>
      </c>
      <c r="S21">
        <v>104.9</v>
      </c>
      <c r="T21">
        <v>103</v>
      </c>
      <c r="U21">
        <v>106.8</v>
      </c>
      <c r="V21" t="s">
        <v>47</v>
      </c>
      <c r="W21">
        <v>101.3</v>
      </c>
      <c r="X21">
        <v>106</v>
      </c>
    </row>
    <row r="22" spans="1:24" x14ac:dyDescent="0.25">
      <c r="A22" s="1">
        <f t="shared" si="0"/>
        <v>42461</v>
      </c>
      <c r="B22">
        <v>100.6</v>
      </c>
      <c r="C22">
        <v>103.9</v>
      </c>
      <c r="D22">
        <v>103.7</v>
      </c>
      <c r="E22">
        <v>102</v>
      </c>
      <c r="F22">
        <v>101.1</v>
      </c>
      <c r="G22">
        <v>101.9</v>
      </c>
      <c r="H22">
        <v>102.6</v>
      </c>
      <c r="I22">
        <v>98</v>
      </c>
      <c r="J22">
        <v>101.5</v>
      </c>
      <c r="K22">
        <v>91.6</v>
      </c>
      <c r="L22">
        <v>96.9</v>
      </c>
      <c r="M22">
        <v>83.7</v>
      </c>
      <c r="N22">
        <v>105.1</v>
      </c>
      <c r="O22">
        <v>106.7</v>
      </c>
      <c r="P22">
        <v>104.4</v>
      </c>
      <c r="Q22" t="e">
        <v>#N/A</v>
      </c>
      <c r="R22">
        <v>99.3</v>
      </c>
      <c r="S22">
        <v>105</v>
      </c>
      <c r="T22">
        <v>103.1</v>
      </c>
      <c r="U22">
        <v>107.1</v>
      </c>
      <c r="V22" t="s">
        <v>47</v>
      </c>
      <c r="W22">
        <v>101.7</v>
      </c>
      <c r="X22">
        <v>106.2</v>
      </c>
    </row>
    <row r="23" spans="1:24" x14ac:dyDescent="0.25">
      <c r="A23" s="1">
        <f t="shared" si="0"/>
        <v>42491</v>
      </c>
      <c r="B23">
        <v>101.2</v>
      </c>
      <c r="C23">
        <v>104.4</v>
      </c>
      <c r="D23">
        <v>104.2</v>
      </c>
      <c r="E23">
        <v>102.6</v>
      </c>
      <c r="F23">
        <v>101.8</v>
      </c>
      <c r="G23">
        <v>102.3</v>
      </c>
      <c r="H23">
        <v>102.8</v>
      </c>
      <c r="I23">
        <v>99</v>
      </c>
      <c r="J23">
        <v>102.4</v>
      </c>
      <c r="K23">
        <v>92.4</v>
      </c>
      <c r="L23">
        <v>97.7</v>
      </c>
      <c r="M23">
        <v>85.4</v>
      </c>
      <c r="N23">
        <v>105.4</v>
      </c>
      <c r="O23">
        <v>107.1</v>
      </c>
      <c r="P23">
        <v>104.6</v>
      </c>
      <c r="Q23" t="e">
        <v>#N/A</v>
      </c>
      <c r="R23">
        <v>99.9</v>
      </c>
      <c r="S23">
        <v>105.4</v>
      </c>
      <c r="T23">
        <v>102.8</v>
      </c>
      <c r="U23">
        <v>107.2</v>
      </c>
      <c r="V23" t="s">
        <v>47</v>
      </c>
      <c r="W23">
        <v>101.8</v>
      </c>
      <c r="X23">
        <v>106.7</v>
      </c>
    </row>
    <row r="24" spans="1:24" x14ac:dyDescent="0.25">
      <c r="A24" s="1">
        <f t="shared" si="0"/>
        <v>42522</v>
      </c>
      <c r="B24">
        <v>102.1</v>
      </c>
      <c r="C24">
        <v>105.6</v>
      </c>
      <c r="D24">
        <v>104.4</v>
      </c>
      <c r="E24">
        <v>102.8</v>
      </c>
      <c r="F24">
        <v>103.2</v>
      </c>
      <c r="G24">
        <v>103.3</v>
      </c>
      <c r="H24">
        <v>103.7</v>
      </c>
      <c r="I24">
        <v>100.7</v>
      </c>
      <c r="J24">
        <v>102.7</v>
      </c>
      <c r="K24">
        <v>95.1</v>
      </c>
      <c r="L24">
        <v>99</v>
      </c>
      <c r="M24">
        <v>88.6</v>
      </c>
      <c r="N24">
        <v>105.3</v>
      </c>
      <c r="O24">
        <v>107.2</v>
      </c>
      <c r="P24">
        <v>105.2</v>
      </c>
      <c r="Q24" t="e">
        <v>#N/A</v>
      </c>
      <c r="R24">
        <v>98.7</v>
      </c>
      <c r="S24">
        <v>105.6</v>
      </c>
      <c r="T24">
        <v>103.3</v>
      </c>
      <c r="U24">
        <v>107.8</v>
      </c>
      <c r="V24" t="s">
        <v>47</v>
      </c>
      <c r="W24">
        <v>102.3</v>
      </c>
      <c r="X24">
        <v>107.2</v>
      </c>
    </row>
    <row r="25" spans="1:24" x14ac:dyDescent="0.25">
      <c r="A25" s="1">
        <f t="shared" si="0"/>
        <v>42552</v>
      </c>
      <c r="B25">
        <v>102.3</v>
      </c>
      <c r="C25">
        <v>105.9</v>
      </c>
      <c r="D25">
        <v>104.4</v>
      </c>
      <c r="F25">
        <v>103.4</v>
      </c>
      <c r="G25">
        <v>103.8</v>
      </c>
      <c r="H25">
        <v>104.1</v>
      </c>
      <c r="I25">
        <v>99.7</v>
      </c>
      <c r="J25">
        <v>102.4</v>
      </c>
      <c r="K25">
        <v>95.6</v>
      </c>
      <c r="L25">
        <v>99.5</v>
      </c>
      <c r="M25">
        <v>89.8</v>
      </c>
      <c r="N25">
        <v>105.2</v>
      </c>
      <c r="O25">
        <v>107.4</v>
      </c>
      <c r="P25">
        <v>105.1</v>
      </c>
      <c r="Q25" t="e">
        <v>#N/A</v>
      </c>
      <c r="R25">
        <v>98.4</v>
      </c>
      <c r="S25">
        <v>105.7</v>
      </c>
      <c r="T25">
        <v>102.1</v>
      </c>
      <c r="U25">
        <v>107.4</v>
      </c>
      <c r="V25" t="s">
        <v>47</v>
      </c>
      <c r="W25">
        <v>102.7</v>
      </c>
      <c r="X25">
        <v>107.5</v>
      </c>
    </row>
    <row r="26" spans="1:24" x14ac:dyDescent="0.25">
      <c r="A26" s="1">
        <f t="shared" si="0"/>
        <v>42583</v>
      </c>
      <c r="B26">
        <v>102.3</v>
      </c>
      <c r="C26">
        <v>106.4</v>
      </c>
      <c r="D26">
        <v>104.3</v>
      </c>
      <c r="E26">
        <v>102.6</v>
      </c>
      <c r="F26">
        <v>103.8</v>
      </c>
      <c r="G26">
        <v>104.2</v>
      </c>
      <c r="H26">
        <v>104.5</v>
      </c>
      <c r="I26">
        <v>101</v>
      </c>
      <c r="J26">
        <v>102.5</v>
      </c>
      <c r="K26">
        <v>96.4</v>
      </c>
      <c r="L26">
        <v>99.3</v>
      </c>
      <c r="M26">
        <v>89.5</v>
      </c>
      <c r="N26">
        <v>105.2</v>
      </c>
      <c r="O26">
        <v>107.2</v>
      </c>
      <c r="P26">
        <v>105</v>
      </c>
      <c r="Q26" t="e">
        <v>#N/A</v>
      </c>
      <c r="R26">
        <v>98.6</v>
      </c>
      <c r="S26">
        <v>105.6</v>
      </c>
      <c r="T26">
        <v>102.2</v>
      </c>
      <c r="U26">
        <v>107.4</v>
      </c>
      <c r="V26" t="s">
        <v>47</v>
      </c>
      <c r="W26">
        <v>102.7</v>
      </c>
      <c r="X26">
        <v>107.6</v>
      </c>
    </row>
    <row r="27" spans="1:24" x14ac:dyDescent="0.25">
      <c r="A27" s="1">
        <f t="shared" si="0"/>
        <v>42614</v>
      </c>
      <c r="B27">
        <v>102.6</v>
      </c>
      <c r="C27">
        <v>106.5</v>
      </c>
      <c r="D27">
        <v>104.5</v>
      </c>
      <c r="E27">
        <v>102.7</v>
      </c>
      <c r="F27">
        <v>104</v>
      </c>
      <c r="G27">
        <v>104.2</v>
      </c>
      <c r="H27">
        <v>104.5</v>
      </c>
      <c r="I27">
        <v>101</v>
      </c>
      <c r="J27">
        <v>102.6</v>
      </c>
      <c r="K27">
        <v>96.9</v>
      </c>
      <c r="L27">
        <v>99.6</v>
      </c>
      <c r="M27">
        <v>90.2</v>
      </c>
      <c r="N27">
        <v>105.3</v>
      </c>
      <c r="O27">
        <v>107.4</v>
      </c>
      <c r="P27">
        <v>105.5</v>
      </c>
      <c r="Q27" t="e">
        <v>#N/A</v>
      </c>
      <c r="R27">
        <v>99.2</v>
      </c>
      <c r="S27">
        <v>105.8</v>
      </c>
      <c r="T27">
        <v>103.5</v>
      </c>
      <c r="U27">
        <v>107.7</v>
      </c>
      <c r="V27" t="s">
        <v>47</v>
      </c>
      <c r="W27">
        <v>102.9</v>
      </c>
      <c r="X27">
        <v>107.4</v>
      </c>
    </row>
    <row r="28" spans="1:24" x14ac:dyDescent="0.25">
      <c r="A28" s="1">
        <f t="shared" si="0"/>
        <v>42644</v>
      </c>
      <c r="B28">
        <v>103</v>
      </c>
      <c r="C28">
        <v>106</v>
      </c>
      <c r="D28">
        <v>104.9</v>
      </c>
      <c r="E28">
        <v>103.3</v>
      </c>
      <c r="F28">
        <v>103.6</v>
      </c>
      <c r="G28">
        <v>103.7</v>
      </c>
      <c r="H28">
        <v>104.2</v>
      </c>
      <c r="I28">
        <v>102.1</v>
      </c>
      <c r="J28">
        <v>103.3</v>
      </c>
      <c r="K28">
        <v>96.2</v>
      </c>
      <c r="L28">
        <v>100.3</v>
      </c>
      <c r="M28">
        <v>91.6</v>
      </c>
      <c r="N28">
        <v>105.5</v>
      </c>
      <c r="O28">
        <v>107.7</v>
      </c>
      <c r="P28">
        <v>105.9</v>
      </c>
      <c r="Q28" t="e">
        <v>#N/A</v>
      </c>
      <c r="R28">
        <v>99.6</v>
      </c>
      <c r="S28">
        <v>105.9</v>
      </c>
      <c r="T28">
        <v>104.4</v>
      </c>
      <c r="U28">
        <v>108.2</v>
      </c>
      <c r="V28" t="s">
        <v>47</v>
      </c>
      <c r="W28">
        <v>103</v>
      </c>
      <c r="X28">
        <v>107.7</v>
      </c>
    </row>
    <row r="29" spans="1:24" x14ac:dyDescent="0.25">
      <c r="A29" s="1">
        <f t="shared" si="0"/>
        <v>42675</v>
      </c>
      <c r="B29">
        <v>103.3</v>
      </c>
      <c r="C29">
        <v>106.2</v>
      </c>
      <c r="D29">
        <v>104.9</v>
      </c>
      <c r="E29">
        <v>103.2</v>
      </c>
      <c r="F29">
        <v>103.5</v>
      </c>
      <c r="G29">
        <v>103.9</v>
      </c>
      <c r="H29">
        <v>104.5</v>
      </c>
      <c r="I29">
        <v>102.1</v>
      </c>
      <c r="J29">
        <v>103.2</v>
      </c>
      <c r="K29">
        <v>96.2</v>
      </c>
      <c r="L29">
        <v>100.8</v>
      </c>
      <c r="M29">
        <v>93.1</v>
      </c>
      <c r="N29">
        <v>105.8</v>
      </c>
      <c r="O29">
        <v>107.9</v>
      </c>
      <c r="P29">
        <v>105.8</v>
      </c>
      <c r="Q29" t="e">
        <v>#N/A</v>
      </c>
      <c r="R29">
        <v>100</v>
      </c>
      <c r="S29">
        <v>105.9</v>
      </c>
      <c r="T29">
        <v>104.1</v>
      </c>
      <c r="U29">
        <v>108.2</v>
      </c>
      <c r="V29" t="s">
        <v>47</v>
      </c>
      <c r="W29">
        <v>103.4</v>
      </c>
      <c r="X29">
        <v>107.8</v>
      </c>
    </row>
    <row r="30" spans="1:24" x14ac:dyDescent="0.25">
      <c r="A30" s="1">
        <f t="shared" si="0"/>
        <v>42705</v>
      </c>
      <c r="B30">
        <v>103.7</v>
      </c>
      <c r="C30">
        <v>106.5</v>
      </c>
      <c r="D30">
        <v>105.2</v>
      </c>
      <c r="E30">
        <v>103.8</v>
      </c>
      <c r="F30">
        <v>104.1</v>
      </c>
      <c r="G30">
        <v>104.3</v>
      </c>
      <c r="H30">
        <v>104.7</v>
      </c>
      <c r="I30">
        <v>104.9</v>
      </c>
      <c r="J30">
        <v>103.9</v>
      </c>
      <c r="K30">
        <v>97.3</v>
      </c>
      <c r="L30">
        <v>101.5</v>
      </c>
      <c r="M30">
        <v>94.3</v>
      </c>
      <c r="N30">
        <v>105.8</v>
      </c>
      <c r="O30">
        <v>107.9</v>
      </c>
      <c r="P30">
        <v>105.5</v>
      </c>
      <c r="Q30" t="e">
        <v>#N/A</v>
      </c>
      <c r="R30">
        <v>100.1</v>
      </c>
      <c r="S30">
        <v>106.3</v>
      </c>
      <c r="T30">
        <v>104.3</v>
      </c>
      <c r="U30">
        <v>108.2</v>
      </c>
      <c r="V30" t="s">
        <v>47</v>
      </c>
      <c r="W30">
        <v>104</v>
      </c>
      <c r="X30">
        <v>108.3</v>
      </c>
    </row>
    <row r="31" spans="1:24" x14ac:dyDescent="0.25">
      <c r="A31" s="1">
        <f t="shared" si="0"/>
        <v>42736</v>
      </c>
      <c r="B31">
        <v>104.9</v>
      </c>
      <c r="C31">
        <v>107</v>
      </c>
      <c r="D31">
        <v>105.8</v>
      </c>
      <c r="E31">
        <v>104</v>
      </c>
      <c r="F31">
        <v>104.8</v>
      </c>
      <c r="G31">
        <v>104.7</v>
      </c>
      <c r="H31">
        <v>105.2</v>
      </c>
      <c r="I31">
        <v>105.9</v>
      </c>
      <c r="J31">
        <v>104.4</v>
      </c>
      <c r="K31">
        <v>98.5</v>
      </c>
      <c r="L31">
        <v>103.2</v>
      </c>
      <c r="M31">
        <v>98.6</v>
      </c>
      <c r="N31">
        <v>106.1</v>
      </c>
      <c r="O31">
        <v>108.5</v>
      </c>
      <c r="P31">
        <v>107</v>
      </c>
      <c r="Q31" t="e">
        <v>#N/A</v>
      </c>
      <c r="R31">
        <v>100.2</v>
      </c>
      <c r="S31">
        <v>107</v>
      </c>
      <c r="T31">
        <v>104.8</v>
      </c>
      <c r="U31">
        <v>108.7</v>
      </c>
      <c r="V31" t="s">
        <v>47</v>
      </c>
      <c r="W31">
        <v>104.1</v>
      </c>
      <c r="X31">
        <v>108.8</v>
      </c>
    </row>
    <row r="32" spans="1:24" x14ac:dyDescent="0.25">
      <c r="A32" s="1">
        <f t="shared" si="0"/>
        <v>42767</v>
      </c>
      <c r="B32">
        <v>105</v>
      </c>
      <c r="C32">
        <v>107.2</v>
      </c>
      <c r="D32">
        <v>106</v>
      </c>
      <c r="E32">
        <v>104.5</v>
      </c>
      <c r="F32">
        <v>105.1</v>
      </c>
      <c r="G32">
        <v>105.1</v>
      </c>
      <c r="H32">
        <v>105.5</v>
      </c>
      <c r="I32">
        <v>106.1</v>
      </c>
      <c r="J32">
        <v>104.6</v>
      </c>
      <c r="K32">
        <v>99.9</v>
      </c>
      <c r="L32">
        <v>103.2</v>
      </c>
      <c r="M32">
        <v>98.4</v>
      </c>
      <c r="N32">
        <v>106.1</v>
      </c>
      <c r="O32">
        <v>108.6</v>
      </c>
      <c r="P32">
        <v>108</v>
      </c>
      <c r="Q32" t="e">
        <v>#N/A</v>
      </c>
      <c r="R32">
        <v>100.5</v>
      </c>
      <c r="S32">
        <v>107.2</v>
      </c>
      <c r="T32">
        <v>105.2</v>
      </c>
      <c r="U32">
        <v>108.9</v>
      </c>
      <c r="V32">
        <v>109.2</v>
      </c>
      <c r="W32">
        <v>104.3</v>
      </c>
      <c r="X32">
        <v>109</v>
      </c>
    </row>
    <row r="33" spans="1:24" x14ac:dyDescent="0.25">
      <c r="A33" s="1">
        <f t="shared" si="0"/>
        <v>42795</v>
      </c>
      <c r="B33">
        <v>105.1</v>
      </c>
      <c r="C33">
        <v>107.6</v>
      </c>
      <c r="D33">
        <v>106</v>
      </c>
      <c r="E33">
        <v>104.7</v>
      </c>
      <c r="F33">
        <v>105.2</v>
      </c>
      <c r="G33">
        <v>105.3</v>
      </c>
      <c r="H33">
        <v>105.8</v>
      </c>
      <c r="I33">
        <v>105.6</v>
      </c>
      <c r="J33">
        <v>104.6</v>
      </c>
      <c r="K33">
        <v>101.6</v>
      </c>
      <c r="L33">
        <v>102.9</v>
      </c>
      <c r="M33">
        <v>97.7</v>
      </c>
      <c r="N33">
        <v>106.4</v>
      </c>
      <c r="O33">
        <v>108.7</v>
      </c>
      <c r="P33">
        <v>108.8</v>
      </c>
      <c r="Q33" t="e">
        <v>#N/A</v>
      </c>
      <c r="R33">
        <v>100.7</v>
      </c>
      <c r="S33">
        <v>107.4</v>
      </c>
      <c r="T33">
        <v>105.5</v>
      </c>
      <c r="U33">
        <v>109</v>
      </c>
      <c r="V33">
        <v>109.4</v>
      </c>
      <c r="W33">
        <v>104.6</v>
      </c>
      <c r="X33">
        <v>109.2</v>
      </c>
    </row>
    <row r="34" spans="1:24" x14ac:dyDescent="0.25">
      <c r="A34" s="1">
        <f t="shared" si="0"/>
        <v>42826</v>
      </c>
      <c r="B34">
        <v>104.8</v>
      </c>
      <c r="C34">
        <v>107.7</v>
      </c>
      <c r="D34">
        <v>105.9</v>
      </c>
      <c r="E34">
        <v>104.8</v>
      </c>
      <c r="F34">
        <v>105.5</v>
      </c>
      <c r="G34">
        <v>105.5</v>
      </c>
      <c r="H34">
        <v>105.8</v>
      </c>
      <c r="I34">
        <v>105.4</v>
      </c>
      <c r="J34">
        <v>104.6</v>
      </c>
      <c r="K34">
        <v>102.5</v>
      </c>
      <c r="L34">
        <v>102.4</v>
      </c>
      <c r="M34">
        <v>96.2</v>
      </c>
      <c r="N34">
        <v>106.4</v>
      </c>
      <c r="O34">
        <v>108.7</v>
      </c>
      <c r="P34">
        <v>108.6</v>
      </c>
      <c r="Q34" t="e">
        <v>#N/A</v>
      </c>
      <c r="R34">
        <v>101</v>
      </c>
      <c r="S34">
        <v>107.5</v>
      </c>
      <c r="T34">
        <v>105.1</v>
      </c>
      <c r="U34">
        <v>109</v>
      </c>
      <c r="V34">
        <v>109.6</v>
      </c>
      <c r="W34">
        <v>104.6</v>
      </c>
      <c r="X34">
        <v>109.1</v>
      </c>
    </row>
    <row r="35" spans="1:24" x14ac:dyDescent="0.25">
      <c r="A35" s="1">
        <f t="shared" si="0"/>
        <v>42856</v>
      </c>
      <c r="B35">
        <v>105</v>
      </c>
      <c r="C35">
        <v>107.9</v>
      </c>
      <c r="D35">
        <v>105.9</v>
      </c>
      <c r="E35">
        <v>104.4</v>
      </c>
      <c r="F35">
        <v>105.5</v>
      </c>
      <c r="G35">
        <v>105.5</v>
      </c>
      <c r="H35">
        <v>105.8</v>
      </c>
      <c r="I35">
        <v>105.5</v>
      </c>
      <c r="J35">
        <v>104.4</v>
      </c>
      <c r="K35">
        <v>102.6</v>
      </c>
      <c r="L35">
        <v>102.6</v>
      </c>
      <c r="M35">
        <v>96.9</v>
      </c>
      <c r="N35">
        <v>106.7</v>
      </c>
      <c r="O35">
        <v>108.7</v>
      </c>
      <c r="P35">
        <v>108.8</v>
      </c>
      <c r="Q35" t="e">
        <v>#N/A</v>
      </c>
      <c r="R35">
        <v>101</v>
      </c>
      <c r="S35">
        <v>107.4</v>
      </c>
      <c r="T35">
        <v>105.1</v>
      </c>
      <c r="U35">
        <v>108.9</v>
      </c>
      <c r="V35">
        <v>109.5</v>
      </c>
      <c r="W35">
        <v>104.3</v>
      </c>
      <c r="X35">
        <v>109.1</v>
      </c>
    </row>
    <row r="36" spans="1:24" x14ac:dyDescent="0.25">
      <c r="A36" s="1">
        <f t="shared" si="0"/>
        <v>42887</v>
      </c>
      <c r="B36">
        <v>104.7</v>
      </c>
      <c r="C36">
        <v>107.9</v>
      </c>
      <c r="D36">
        <v>105.5</v>
      </c>
      <c r="E36">
        <v>104.1</v>
      </c>
      <c r="F36">
        <v>105.5</v>
      </c>
      <c r="G36">
        <v>105.8</v>
      </c>
      <c r="H36">
        <v>106</v>
      </c>
      <c r="I36">
        <v>104.7</v>
      </c>
      <c r="J36">
        <v>103.9</v>
      </c>
      <c r="K36">
        <v>102.9</v>
      </c>
      <c r="L36">
        <v>102</v>
      </c>
      <c r="M36">
        <v>95.9</v>
      </c>
      <c r="N36">
        <v>106.3</v>
      </c>
      <c r="O36">
        <v>108.6</v>
      </c>
      <c r="P36">
        <v>108.2</v>
      </c>
      <c r="Q36" t="e">
        <v>#N/A</v>
      </c>
      <c r="R36">
        <v>101.2</v>
      </c>
      <c r="S36">
        <v>107.3</v>
      </c>
      <c r="T36">
        <v>105.6</v>
      </c>
      <c r="U36">
        <v>109</v>
      </c>
      <c r="V36">
        <v>109.7</v>
      </c>
      <c r="W36">
        <v>104.4</v>
      </c>
      <c r="X36">
        <v>109</v>
      </c>
    </row>
    <row r="37" spans="1:24" x14ac:dyDescent="0.25">
      <c r="A37" s="1">
        <f t="shared" si="0"/>
        <v>42917</v>
      </c>
      <c r="B37">
        <v>104.7</v>
      </c>
      <c r="C37">
        <v>108.1</v>
      </c>
      <c r="D37">
        <v>105.7</v>
      </c>
      <c r="E37">
        <v>104.4</v>
      </c>
      <c r="F37">
        <v>105.7</v>
      </c>
      <c r="G37">
        <v>105.9</v>
      </c>
      <c r="H37">
        <v>106.1</v>
      </c>
      <c r="I37">
        <v>104.8</v>
      </c>
      <c r="J37">
        <v>104.1</v>
      </c>
      <c r="K37">
        <v>103.2</v>
      </c>
      <c r="L37">
        <v>102.1</v>
      </c>
      <c r="M37">
        <v>95.7</v>
      </c>
      <c r="N37">
        <v>106.4</v>
      </c>
      <c r="O37">
        <v>108.7</v>
      </c>
      <c r="P37">
        <v>107.3</v>
      </c>
      <c r="Q37" t="e">
        <v>#N/A</v>
      </c>
      <c r="R37">
        <v>101.7</v>
      </c>
      <c r="S37">
        <v>107.4</v>
      </c>
      <c r="T37">
        <v>105.6</v>
      </c>
      <c r="U37">
        <v>109</v>
      </c>
      <c r="V37">
        <v>109.8</v>
      </c>
      <c r="W37">
        <v>104.6</v>
      </c>
      <c r="X37">
        <v>109.4</v>
      </c>
    </row>
    <row r="38" spans="1:24" x14ac:dyDescent="0.25">
      <c r="A38" s="1">
        <f t="shared" si="0"/>
        <v>42948</v>
      </c>
      <c r="B38">
        <v>105</v>
      </c>
      <c r="C38">
        <v>108.4</v>
      </c>
      <c r="D38">
        <v>106</v>
      </c>
      <c r="E38">
        <v>104.5</v>
      </c>
      <c r="F38">
        <v>106</v>
      </c>
      <c r="G38">
        <v>106.4</v>
      </c>
      <c r="H38">
        <v>106.5</v>
      </c>
      <c r="I38">
        <v>105.1</v>
      </c>
      <c r="J38">
        <v>104.4</v>
      </c>
      <c r="K38">
        <v>102.8</v>
      </c>
      <c r="L38">
        <v>102.4</v>
      </c>
      <c r="M38">
        <v>95.8</v>
      </c>
      <c r="N38">
        <v>106.8</v>
      </c>
      <c r="O38">
        <v>109</v>
      </c>
      <c r="P38">
        <v>107.9</v>
      </c>
      <c r="Q38" t="e">
        <v>#N/A</v>
      </c>
      <c r="R38">
        <v>102.1</v>
      </c>
      <c r="S38">
        <v>107.6</v>
      </c>
      <c r="T38">
        <v>105.2</v>
      </c>
      <c r="U38">
        <v>109.1</v>
      </c>
      <c r="V38">
        <v>109.8</v>
      </c>
      <c r="W38">
        <v>104.7</v>
      </c>
      <c r="X38">
        <v>109.9</v>
      </c>
    </row>
    <row r="39" spans="1:24" x14ac:dyDescent="0.25">
      <c r="A39" s="1">
        <f t="shared" si="0"/>
        <v>42979</v>
      </c>
      <c r="B39">
        <v>105.2</v>
      </c>
      <c r="C39">
        <v>108.8</v>
      </c>
      <c r="D39">
        <v>106.2</v>
      </c>
      <c r="E39">
        <v>104.7</v>
      </c>
      <c r="F39">
        <v>106.6</v>
      </c>
      <c r="G39">
        <v>106.5</v>
      </c>
      <c r="H39">
        <v>106.6</v>
      </c>
      <c r="I39">
        <v>105.2</v>
      </c>
      <c r="J39">
        <v>104.8</v>
      </c>
      <c r="K39">
        <v>102.3</v>
      </c>
      <c r="L39">
        <v>102.6</v>
      </c>
      <c r="M39">
        <v>96.4</v>
      </c>
      <c r="N39">
        <v>106.8</v>
      </c>
      <c r="O39">
        <v>109.1</v>
      </c>
      <c r="P39">
        <v>108.5</v>
      </c>
      <c r="Q39" t="e">
        <v>#N/A</v>
      </c>
      <c r="R39">
        <v>101.4</v>
      </c>
      <c r="S39">
        <v>107.7</v>
      </c>
      <c r="T39">
        <v>105.1</v>
      </c>
      <c r="U39">
        <v>109.3</v>
      </c>
      <c r="V39">
        <v>110</v>
      </c>
      <c r="W39">
        <v>106.1</v>
      </c>
      <c r="X39">
        <v>109.7</v>
      </c>
    </row>
    <row r="40" spans="1:24" x14ac:dyDescent="0.25">
      <c r="A40" s="1">
        <f t="shared" si="0"/>
        <v>43009</v>
      </c>
      <c r="B40">
        <v>105.7</v>
      </c>
      <c r="C40">
        <v>109.6</v>
      </c>
      <c r="D40">
        <v>106.3</v>
      </c>
      <c r="E40">
        <v>105</v>
      </c>
      <c r="F40">
        <v>107.4</v>
      </c>
      <c r="G40">
        <v>107.2</v>
      </c>
      <c r="H40">
        <v>107.1</v>
      </c>
      <c r="I40">
        <v>105.9</v>
      </c>
      <c r="J40">
        <v>104.9</v>
      </c>
      <c r="K40">
        <v>102.5</v>
      </c>
      <c r="L40">
        <v>103</v>
      </c>
      <c r="M40">
        <v>97.4</v>
      </c>
      <c r="N40">
        <v>107</v>
      </c>
      <c r="O40">
        <v>109.1</v>
      </c>
      <c r="P40">
        <v>108.8</v>
      </c>
      <c r="Q40" t="e">
        <v>#N/A</v>
      </c>
      <c r="R40">
        <v>101.9</v>
      </c>
      <c r="S40">
        <v>107.9</v>
      </c>
      <c r="T40">
        <v>105.7</v>
      </c>
      <c r="U40">
        <v>109.5</v>
      </c>
      <c r="V40">
        <v>110.1</v>
      </c>
      <c r="W40">
        <v>106.1</v>
      </c>
      <c r="X40">
        <v>109.8</v>
      </c>
    </row>
    <row r="41" spans="1:24" x14ac:dyDescent="0.25">
      <c r="A41" s="1">
        <f t="shared" si="0"/>
        <v>43040</v>
      </c>
      <c r="B41">
        <v>106.1</v>
      </c>
      <c r="C41">
        <v>110.4</v>
      </c>
      <c r="D41">
        <v>106.6</v>
      </c>
      <c r="E41">
        <v>105</v>
      </c>
      <c r="F41">
        <v>108.3</v>
      </c>
      <c r="G41">
        <v>107.9</v>
      </c>
      <c r="H41">
        <v>107.8</v>
      </c>
      <c r="I41">
        <v>107.2</v>
      </c>
      <c r="J41">
        <v>105.2</v>
      </c>
      <c r="K41">
        <v>101.6</v>
      </c>
      <c r="L41">
        <v>103.5</v>
      </c>
      <c r="M41">
        <v>98.4</v>
      </c>
      <c r="N41">
        <v>107.2</v>
      </c>
      <c r="O41">
        <v>109.3</v>
      </c>
      <c r="P41">
        <v>108.5</v>
      </c>
      <c r="Q41" t="e">
        <v>#N/A</v>
      </c>
      <c r="R41">
        <v>101.7</v>
      </c>
      <c r="S41">
        <v>108.1</v>
      </c>
      <c r="T41">
        <v>105.5</v>
      </c>
      <c r="U41">
        <v>109.6</v>
      </c>
      <c r="V41">
        <v>110.2</v>
      </c>
      <c r="W41">
        <v>106</v>
      </c>
      <c r="X41">
        <v>110.1</v>
      </c>
    </row>
    <row r="42" spans="1:24" x14ac:dyDescent="0.25">
      <c r="A42" s="1">
        <f t="shared" si="0"/>
        <v>43070</v>
      </c>
      <c r="B42">
        <v>106.4</v>
      </c>
      <c r="C42">
        <v>110.7</v>
      </c>
      <c r="D42">
        <v>106.5</v>
      </c>
      <c r="E42">
        <v>105</v>
      </c>
      <c r="F42">
        <v>108.4</v>
      </c>
      <c r="G42">
        <v>108</v>
      </c>
      <c r="H42">
        <v>107.9</v>
      </c>
      <c r="I42">
        <v>107.2</v>
      </c>
      <c r="J42">
        <v>105.4</v>
      </c>
      <c r="K42">
        <v>103.2</v>
      </c>
      <c r="L42">
        <v>104.1</v>
      </c>
      <c r="M42">
        <v>99.8</v>
      </c>
      <c r="N42">
        <v>107.3</v>
      </c>
      <c r="O42">
        <v>109.3</v>
      </c>
      <c r="P42">
        <v>108.9</v>
      </c>
      <c r="Q42" t="e">
        <v>#N/A</v>
      </c>
      <c r="R42">
        <v>101.6</v>
      </c>
      <c r="S42">
        <v>108.2</v>
      </c>
      <c r="T42">
        <v>105.8</v>
      </c>
      <c r="U42">
        <v>109.8</v>
      </c>
      <c r="V42">
        <v>110.3</v>
      </c>
      <c r="W42">
        <v>106.5</v>
      </c>
      <c r="X42">
        <v>110.3</v>
      </c>
    </row>
    <row r="43" spans="1:24" x14ac:dyDescent="0.25">
      <c r="A43" s="1">
        <f t="shared" si="0"/>
        <v>43101</v>
      </c>
      <c r="B43">
        <v>107.3</v>
      </c>
      <c r="C43">
        <v>111.2</v>
      </c>
      <c r="D43">
        <v>107.7</v>
      </c>
      <c r="E43">
        <v>107.2</v>
      </c>
      <c r="F43">
        <v>109.5</v>
      </c>
      <c r="G43">
        <v>108.8</v>
      </c>
      <c r="H43">
        <v>108.6</v>
      </c>
      <c r="I43">
        <v>109.7</v>
      </c>
      <c r="J43">
        <v>106.7</v>
      </c>
      <c r="K43">
        <v>105.3</v>
      </c>
      <c r="L43">
        <v>105.1</v>
      </c>
      <c r="M43">
        <v>100.7</v>
      </c>
      <c r="N43">
        <v>107.9</v>
      </c>
      <c r="O43">
        <v>110.1</v>
      </c>
      <c r="P43">
        <v>109.7</v>
      </c>
      <c r="Q43" t="e">
        <v>#N/A</v>
      </c>
      <c r="R43">
        <v>102.5</v>
      </c>
      <c r="S43">
        <v>109</v>
      </c>
      <c r="T43">
        <v>106.5</v>
      </c>
      <c r="U43">
        <v>110.4</v>
      </c>
      <c r="V43">
        <v>110.8</v>
      </c>
      <c r="W43">
        <v>108.4</v>
      </c>
      <c r="X43">
        <v>111.2</v>
      </c>
    </row>
    <row r="44" spans="1:24" x14ac:dyDescent="0.25">
      <c r="A44" s="1">
        <f t="shared" si="0"/>
        <v>43132</v>
      </c>
      <c r="B44">
        <v>107.4</v>
      </c>
      <c r="C44">
        <v>111.5</v>
      </c>
      <c r="D44">
        <v>107.6</v>
      </c>
      <c r="E44">
        <v>106.4</v>
      </c>
      <c r="F44">
        <v>109.5</v>
      </c>
      <c r="G44">
        <v>108.9</v>
      </c>
      <c r="H44">
        <v>108.9</v>
      </c>
      <c r="I44">
        <v>109.6</v>
      </c>
      <c r="J44">
        <v>106.4</v>
      </c>
      <c r="K44">
        <v>104.9</v>
      </c>
      <c r="L44">
        <v>105.2</v>
      </c>
      <c r="M44">
        <v>100.8</v>
      </c>
      <c r="N44">
        <v>108</v>
      </c>
      <c r="O44">
        <v>110.2</v>
      </c>
      <c r="P44">
        <v>110</v>
      </c>
      <c r="Q44" t="e">
        <v>#N/A</v>
      </c>
      <c r="R44">
        <v>102.6</v>
      </c>
      <c r="S44">
        <v>109.2</v>
      </c>
      <c r="T44">
        <v>106.7</v>
      </c>
      <c r="U44">
        <v>110.5</v>
      </c>
      <c r="V44">
        <v>110.9</v>
      </c>
      <c r="W44">
        <v>107.7</v>
      </c>
      <c r="X44">
        <v>111.1</v>
      </c>
    </row>
    <row r="45" spans="1:24" x14ac:dyDescent="0.25">
      <c r="A45" s="1">
        <f t="shared" si="0"/>
        <v>43160</v>
      </c>
      <c r="B45">
        <v>107.7</v>
      </c>
      <c r="C45">
        <v>112</v>
      </c>
      <c r="D45">
        <v>108.1</v>
      </c>
      <c r="E45">
        <v>107.1</v>
      </c>
      <c r="F45">
        <v>110</v>
      </c>
      <c r="G45">
        <v>109.4</v>
      </c>
      <c r="H45">
        <v>109.3</v>
      </c>
      <c r="I45">
        <v>109.2</v>
      </c>
      <c r="J45">
        <v>106.8</v>
      </c>
      <c r="K45">
        <v>105.3</v>
      </c>
      <c r="L45">
        <v>105.4</v>
      </c>
      <c r="M45">
        <v>100.1</v>
      </c>
      <c r="N45">
        <v>108.3</v>
      </c>
      <c r="O45">
        <v>110.7</v>
      </c>
      <c r="P45">
        <v>110.1</v>
      </c>
      <c r="Q45" t="e">
        <v>#N/A</v>
      </c>
      <c r="R45">
        <v>102.7</v>
      </c>
      <c r="S45">
        <v>109.5</v>
      </c>
      <c r="T45">
        <v>106.8</v>
      </c>
      <c r="U45">
        <v>110.8</v>
      </c>
      <c r="V45">
        <v>111.3</v>
      </c>
      <c r="W45">
        <v>112.1</v>
      </c>
      <c r="X45">
        <v>111.7</v>
      </c>
    </row>
    <row r="46" spans="1:24" x14ac:dyDescent="0.25">
      <c r="A46" s="1">
        <f t="shared" si="0"/>
        <v>43191</v>
      </c>
      <c r="B46">
        <v>108.1</v>
      </c>
      <c r="C46">
        <v>112.2</v>
      </c>
      <c r="D46">
        <v>108.5</v>
      </c>
      <c r="E46">
        <v>106.7</v>
      </c>
      <c r="F46">
        <v>110.5</v>
      </c>
      <c r="G46">
        <v>109.6</v>
      </c>
      <c r="H46">
        <v>109.5</v>
      </c>
      <c r="I46">
        <v>110.4</v>
      </c>
      <c r="J46">
        <v>107.5</v>
      </c>
      <c r="K46">
        <v>105.2</v>
      </c>
      <c r="L46">
        <v>105.9</v>
      </c>
      <c r="M46">
        <v>101</v>
      </c>
      <c r="N46">
        <v>108.6</v>
      </c>
      <c r="O46">
        <v>111</v>
      </c>
      <c r="P46">
        <v>109.7</v>
      </c>
      <c r="Q46" t="e">
        <v>#N/A</v>
      </c>
      <c r="R46">
        <v>103.8</v>
      </c>
      <c r="S46">
        <v>109.8</v>
      </c>
      <c r="T46">
        <v>108</v>
      </c>
      <c r="U46">
        <v>111.2</v>
      </c>
      <c r="V46">
        <v>111.6</v>
      </c>
      <c r="W46">
        <v>112.5</v>
      </c>
      <c r="X46">
        <v>111.9</v>
      </c>
    </row>
    <row r="47" spans="1:24" x14ac:dyDescent="0.25">
      <c r="A47" s="1">
        <f t="shared" si="0"/>
        <v>43221</v>
      </c>
      <c r="B47">
        <v>108.8</v>
      </c>
      <c r="C47">
        <v>112.4</v>
      </c>
      <c r="D47">
        <v>109.1</v>
      </c>
      <c r="E47">
        <v>107.7</v>
      </c>
      <c r="F47">
        <v>110.9</v>
      </c>
      <c r="G47">
        <v>109.9</v>
      </c>
      <c r="H47">
        <v>109.6</v>
      </c>
      <c r="I47">
        <v>111.2</v>
      </c>
      <c r="J47">
        <v>108</v>
      </c>
      <c r="K47">
        <v>106.7</v>
      </c>
      <c r="L47">
        <v>107</v>
      </c>
      <c r="M47">
        <v>103.5</v>
      </c>
      <c r="N47">
        <v>109.1</v>
      </c>
      <c r="O47">
        <v>111.5</v>
      </c>
      <c r="P47">
        <v>110.3</v>
      </c>
      <c r="Q47" t="e">
        <v>#N/A</v>
      </c>
      <c r="R47">
        <v>104.2</v>
      </c>
      <c r="S47">
        <v>110</v>
      </c>
      <c r="T47">
        <v>107.7</v>
      </c>
      <c r="U47">
        <v>111.2</v>
      </c>
      <c r="V47">
        <v>112.1</v>
      </c>
      <c r="W47">
        <v>112.2</v>
      </c>
      <c r="X47">
        <v>112.3</v>
      </c>
    </row>
    <row r="48" spans="1:24" x14ac:dyDescent="0.25">
      <c r="A48" s="1">
        <f t="shared" si="0"/>
        <v>43252</v>
      </c>
      <c r="B48">
        <v>109.6</v>
      </c>
      <c r="C48">
        <v>112.2</v>
      </c>
      <c r="D48">
        <v>108.9</v>
      </c>
      <c r="E48">
        <v>107.8</v>
      </c>
      <c r="F48">
        <v>110.6</v>
      </c>
      <c r="G48">
        <v>109.8</v>
      </c>
      <c r="H48">
        <v>109.5</v>
      </c>
      <c r="I48">
        <v>113.4</v>
      </c>
      <c r="J48">
        <v>108</v>
      </c>
      <c r="K48">
        <v>106.5</v>
      </c>
      <c r="L48">
        <v>108.5</v>
      </c>
      <c r="M48">
        <v>108.3</v>
      </c>
      <c r="N48">
        <v>109.1</v>
      </c>
      <c r="O48">
        <v>111.6</v>
      </c>
      <c r="P48">
        <v>110.9</v>
      </c>
      <c r="Q48" t="e">
        <v>#N/A</v>
      </c>
      <c r="R48">
        <v>104.6</v>
      </c>
      <c r="S48">
        <v>110</v>
      </c>
      <c r="T48">
        <v>108.7</v>
      </c>
      <c r="U48">
        <v>111.8</v>
      </c>
      <c r="V48">
        <v>112.5</v>
      </c>
      <c r="W48">
        <v>112.1</v>
      </c>
      <c r="X48">
        <v>112.6</v>
      </c>
    </row>
    <row r="49" spans="1:24" x14ac:dyDescent="0.25">
      <c r="A49" s="1">
        <f t="shared" si="0"/>
        <v>43282</v>
      </c>
      <c r="B49">
        <v>109.8</v>
      </c>
      <c r="C49">
        <v>112.1</v>
      </c>
      <c r="D49">
        <v>109.1</v>
      </c>
      <c r="E49">
        <v>107.5</v>
      </c>
      <c r="F49">
        <v>110.6</v>
      </c>
      <c r="G49">
        <v>109.9</v>
      </c>
      <c r="H49">
        <v>109.7</v>
      </c>
      <c r="I49">
        <v>114</v>
      </c>
      <c r="J49">
        <v>108.1</v>
      </c>
      <c r="K49">
        <v>106.3</v>
      </c>
      <c r="L49">
        <v>108.8</v>
      </c>
      <c r="M49">
        <v>109</v>
      </c>
      <c r="N49">
        <v>109.2</v>
      </c>
      <c r="O49">
        <v>111.6</v>
      </c>
      <c r="P49">
        <v>111.1</v>
      </c>
      <c r="Q49" t="e">
        <v>#N/A</v>
      </c>
      <c r="R49">
        <v>104.9</v>
      </c>
      <c r="S49">
        <v>110.2</v>
      </c>
      <c r="T49">
        <v>108.9</v>
      </c>
      <c r="U49">
        <v>111.8</v>
      </c>
      <c r="V49">
        <v>112.5</v>
      </c>
      <c r="W49">
        <v>113.2</v>
      </c>
      <c r="X49">
        <v>113</v>
      </c>
    </row>
    <row r="50" spans="1:24" x14ac:dyDescent="0.25">
      <c r="A50" s="1">
        <f t="shared" si="0"/>
        <v>43313</v>
      </c>
      <c r="B50">
        <v>110.2</v>
      </c>
      <c r="C50">
        <v>112.6</v>
      </c>
      <c r="D50">
        <v>109.3</v>
      </c>
      <c r="E50">
        <v>107.8</v>
      </c>
      <c r="F50">
        <v>111</v>
      </c>
      <c r="G50">
        <v>110.3</v>
      </c>
      <c r="H50">
        <v>110</v>
      </c>
      <c r="I50">
        <v>113.8</v>
      </c>
      <c r="J50">
        <v>108.3</v>
      </c>
      <c r="K50">
        <v>107.2</v>
      </c>
      <c r="L50">
        <v>109.3</v>
      </c>
      <c r="M50">
        <v>109.8</v>
      </c>
      <c r="N50">
        <v>109.4</v>
      </c>
      <c r="O50">
        <v>111.7</v>
      </c>
      <c r="P50">
        <v>111.4</v>
      </c>
      <c r="Q50" t="e">
        <v>#N/A</v>
      </c>
      <c r="R50">
        <v>105.1</v>
      </c>
      <c r="S50">
        <v>110.5</v>
      </c>
      <c r="T50">
        <v>109.1</v>
      </c>
      <c r="U50">
        <v>112</v>
      </c>
      <c r="V50">
        <v>112.8</v>
      </c>
      <c r="W50">
        <v>112.7</v>
      </c>
      <c r="X50">
        <v>113.5</v>
      </c>
    </row>
    <row r="51" spans="1:24" x14ac:dyDescent="0.25">
      <c r="A51" s="1">
        <f t="shared" si="0"/>
        <v>43344</v>
      </c>
      <c r="B51">
        <v>110.4</v>
      </c>
      <c r="C51">
        <v>112.9</v>
      </c>
      <c r="D51">
        <v>109.6</v>
      </c>
      <c r="E51">
        <v>108</v>
      </c>
      <c r="F51">
        <v>111.3</v>
      </c>
      <c r="G51">
        <v>110.4</v>
      </c>
      <c r="H51">
        <v>110.1</v>
      </c>
      <c r="I51">
        <v>114.1</v>
      </c>
      <c r="J51">
        <v>108.6</v>
      </c>
      <c r="K51">
        <v>107.4</v>
      </c>
      <c r="L51">
        <v>109.4</v>
      </c>
      <c r="M51">
        <v>110.1</v>
      </c>
      <c r="N51">
        <v>109.7</v>
      </c>
      <c r="O51">
        <v>111.9</v>
      </c>
      <c r="P51">
        <v>111.3</v>
      </c>
      <c r="Q51" t="e">
        <v>#N/A</v>
      </c>
      <c r="R51">
        <v>105.4</v>
      </c>
      <c r="S51">
        <v>110.3</v>
      </c>
      <c r="T51">
        <v>109.3</v>
      </c>
      <c r="U51">
        <v>112.2</v>
      </c>
      <c r="V51">
        <v>113.2</v>
      </c>
      <c r="W51">
        <v>113.9</v>
      </c>
      <c r="X51">
        <v>113.3</v>
      </c>
    </row>
    <row r="52" spans="1:24" x14ac:dyDescent="0.25">
      <c r="A52" s="1">
        <f t="shared" si="0"/>
        <v>43374</v>
      </c>
      <c r="B52">
        <v>110.9</v>
      </c>
      <c r="C52">
        <v>113</v>
      </c>
      <c r="D52">
        <v>109.9</v>
      </c>
      <c r="E52">
        <v>108.1</v>
      </c>
      <c r="F52">
        <v>111.6</v>
      </c>
      <c r="G52">
        <v>110.7</v>
      </c>
      <c r="H52">
        <v>110.4</v>
      </c>
      <c r="I52">
        <v>115.9</v>
      </c>
      <c r="J52">
        <v>109</v>
      </c>
      <c r="K52">
        <v>107.4</v>
      </c>
      <c r="L52">
        <v>110.2</v>
      </c>
      <c r="M52">
        <v>111.7</v>
      </c>
      <c r="N52">
        <v>109.9</v>
      </c>
      <c r="O52">
        <v>112</v>
      </c>
      <c r="P52">
        <v>111.8</v>
      </c>
      <c r="Q52" t="e">
        <v>#N/A</v>
      </c>
      <c r="R52">
        <v>104.9</v>
      </c>
      <c r="S52">
        <v>110.6</v>
      </c>
      <c r="T52">
        <v>108.4</v>
      </c>
      <c r="U52">
        <v>112.4</v>
      </c>
      <c r="V52">
        <v>113.5</v>
      </c>
      <c r="W52">
        <v>113.8</v>
      </c>
      <c r="X52">
        <v>113.6</v>
      </c>
    </row>
    <row r="53" spans="1:24" x14ac:dyDescent="0.25">
      <c r="A53" s="1">
        <f t="shared" si="0"/>
        <v>43405</v>
      </c>
      <c r="B53">
        <v>111.1</v>
      </c>
      <c r="C53">
        <v>113.1</v>
      </c>
      <c r="D53">
        <v>109.4</v>
      </c>
      <c r="E53">
        <v>107.8</v>
      </c>
      <c r="F53">
        <v>111.1</v>
      </c>
      <c r="G53">
        <v>110.5</v>
      </c>
      <c r="H53">
        <v>110.2</v>
      </c>
      <c r="I53">
        <v>113.4</v>
      </c>
      <c r="J53">
        <v>108.5</v>
      </c>
      <c r="K53">
        <v>107.2</v>
      </c>
      <c r="L53">
        <v>110.7</v>
      </c>
      <c r="M53">
        <v>113.7</v>
      </c>
      <c r="N53">
        <v>109.8</v>
      </c>
      <c r="O53">
        <v>112</v>
      </c>
      <c r="P53">
        <v>112.3</v>
      </c>
      <c r="Q53" t="e">
        <v>#N/A</v>
      </c>
      <c r="R53">
        <v>105</v>
      </c>
      <c r="S53">
        <v>110.6</v>
      </c>
      <c r="T53">
        <v>108.7</v>
      </c>
      <c r="U53">
        <v>112.4</v>
      </c>
      <c r="V53">
        <v>113.7</v>
      </c>
      <c r="W53">
        <v>114</v>
      </c>
      <c r="X53">
        <v>113.5</v>
      </c>
    </row>
    <row r="54" spans="1:24" x14ac:dyDescent="0.25">
      <c r="A54" s="1">
        <f t="shared" si="0"/>
        <v>43435</v>
      </c>
      <c r="B54">
        <v>110</v>
      </c>
      <c r="C54">
        <v>113.2</v>
      </c>
      <c r="D54">
        <v>108.9</v>
      </c>
      <c r="E54">
        <v>107.6</v>
      </c>
      <c r="F54">
        <v>110.9</v>
      </c>
      <c r="G54">
        <v>110.5</v>
      </c>
      <c r="H54">
        <v>110.2</v>
      </c>
      <c r="I54">
        <v>110.7</v>
      </c>
      <c r="J54">
        <v>107.7</v>
      </c>
      <c r="K54">
        <v>107.3</v>
      </c>
      <c r="L54">
        <v>108.9</v>
      </c>
      <c r="M54">
        <v>108.9</v>
      </c>
      <c r="N54">
        <v>109.7</v>
      </c>
      <c r="O54">
        <v>111.7</v>
      </c>
      <c r="P54">
        <v>111.6</v>
      </c>
      <c r="Q54" t="e">
        <v>#N/A</v>
      </c>
      <c r="R54">
        <v>104.1</v>
      </c>
      <c r="S54">
        <v>110.4</v>
      </c>
      <c r="T54">
        <v>107.1</v>
      </c>
      <c r="U54">
        <v>112.4</v>
      </c>
      <c r="V54">
        <v>113.4</v>
      </c>
      <c r="W54">
        <v>113.9</v>
      </c>
      <c r="X54">
        <v>113.2</v>
      </c>
    </row>
    <row r="55" spans="1:24" x14ac:dyDescent="0.25">
      <c r="A55" s="1">
        <f t="shared" si="0"/>
        <v>43466</v>
      </c>
      <c r="B55">
        <v>109.7</v>
      </c>
      <c r="C55">
        <v>113.5</v>
      </c>
      <c r="D55">
        <v>109.6</v>
      </c>
      <c r="E55">
        <v>107.6</v>
      </c>
      <c r="F55">
        <v>111.2</v>
      </c>
      <c r="G55">
        <v>110.9</v>
      </c>
      <c r="H55">
        <v>110.7</v>
      </c>
      <c r="I55">
        <v>111.2</v>
      </c>
      <c r="J55">
        <v>108.1</v>
      </c>
      <c r="K55">
        <v>107.2</v>
      </c>
      <c r="L55">
        <v>107.9</v>
      </c>
      <c r="M55">
        <v>105.1</v>
      </c>
      <c r="N55">
        <v>110</v>
      </c>
      <c r="O55">
        <v>112.2</v>
      </c>
      <c r="P55">
        <v>110.9</v>
      </c>
      <c r="Q55" t="e">
        <v>#N/A</v>
      </c>
      <c r="R55">
        <v>104.7</v>
      </c>
      <c r="S55">
        <v>110.7</v>
      </c>
      <c r="T55">
        <v>108.4</v>
      </c>
      <c r="U55">
        <v>112.8</v>
      </c>
      <c r="V55">
        <v>113.5</v>
      </c>
      <c r="W55">
        <v>113.1</v>
      </c>
      <c r="X55">
        <v>113.5</v>
      </c>
    </row>
    <row r="56" spans="1:24" x14ac:dyDescent="0.25">
      <c r="A56" s="1">
        <f t="shared" si="0"/>
        <v>43497</v>
      </c>
      <c r="B56">
        <v>110.3</v>
      </c>
      <c r="C56">
        <v>113.6</v>
      </c>
      <c r="D56">
        <v>110</v>
      </c>
      <c r="E56">
        <v>108.1</v>
      </c>
      <c r="F56">
        <v>111.4</v>
      </c>
      <c r="G56">
        <v>111.3</v>
      </c>
      <c r="H56">
        <v>111.2</v>
      </c>
      <c r="I56">
        <v>113.4</v>
      </c>
      <c r="J56">
        <v>108.6</v>
      </c>
      <c r="K56">
        <v>106.3</v>
      </c>
      <c r="L56">
        <v>108.8</v>
      </c>
      <c r="M56">
        <v>106.9</v>
      </c>
      <c r="N56">
        <v>110.1</v>
      </c>
      <c r="O56">
        <v>112.4</v>
      </c>
      <c r="P56">
        <v>111.3</v>
      </c>
      <c r="Q56" t="e">
        <v>#N/A</v>
      </c>
      <c r="R56">
        <v>104.8</v>
      </c>
      <c r="S56">
        <v>111</v>
      </c>
      <c r="T56">
        <v>108.3</v>
      </c>
      <c r="U56">
        <v>112.7</v>
      </c>
      <c r="V56">
        <v>113.8</v>
      </c>
      <c r="W56">
        <v>113.3</v>
      </c>
      <c r="X56">
        <v>113.8</v>
      </c>
    </row>
    <row r="57" spans="1:24" x14ac:dyDescent="0.25">
      <c r="A57" s="1">
        <f t="shared" si="0"/>
        <v>43525</v>
      </c>
      <c r="B57">
        <v>111.3</v>
      </c>
      <c r="C57">
        <v>114.1</v>
      </c>
      <c r="D57">
        <v>110.5</v>
      </c>
      <c r="E57">
        <v>108.5</v>
      </c>
      <c r="F57">
        <v>111.9</v>
      </c>
      <c r="G57">
        <v>111.8</v>
      </c>
      <c r="H57">
        <v>111.8</v>
      </c>
      <c r="I57">
        <v>114.4</v>
      </c>
      <c r="J57">
        <v>109.3</v>
      </c>
      <c r="K57">
        <v>106.8</v>
      </c>
      <c r="L57">
        <v>110.3</v>
      </c>
      <c r="M57">
        <v>110.4</v>
      </c>
      <c r="N57">
        <v>110.7</v>
      </c>
      <c r="O57">
        <v>112.8</v>
      </c>
      <c r="P57">
        <v>112.1</v>
      </c>
      <c r="Q57" t="e">
        <v>#N/A</v>
      </c>
      <c r="R57">
        <v>104.9</v>
      </c>
      <c r="S57">
        <v>111.4</v>
      </c>
      <c r="T57">
        <v>108.9</v>
      </c>
      <c r="U57">
        <v>113.4</v>
      </c>
      <c r="V57">
        <v>114</v>
      </c>
      <c r="W57">
        <v>113.2</v>
      </c>
      <c r="X57">
        <v>114.3</v>
      </c>
    </row>
    <row r="58" spans="1:24" x14ac:dyDescent="0.25">
      <c r="A58" s="1">
        <f t="shared" si="0"/>
        <v>43556</v>
      </c>
      <c r="B58">
        <v>111.6</v>
      </c>
      <c r="C58">
        <v>114.1</v>
      </c>
      <c r="D58">
        <v>110.7</v>
      </c>
      <c r="E58">
        <v>108.6</v>
      </c>
      <c r="F58">
        <v>112</v>
      </c>
      <c r="G58">
        <v>111.6</v>
      </c>
      <c r="H58">
        <v>111.6</v>
      </c>
      <c r="I58">
        <v>114.9</v>
      </c>
      <c r="J58">
        <v>109.5</v>
      </c>
      <c r="K58">
        <v>106.9</v>
      </c>
      <c r="L58">
        <v>110.8</v>
      </c>
      <c r="M58">
        <v>111.5</v>
      </c>
      <c r="N58">
        <v>110.8</v>
      </c>
      <c r="O58">
        <v>113.1</v>
      </c>
      <c r="P58">
        <v>112.2</v>
      </c>
      <c r="Q58" t="e">
        <v>#N/A</v>
      </c>
      <c r="R58">
        <v>105.1</v>
      </c>
      <c r="S58">
        <v>111.8</v>
      </c>
      <c r="T58">
        <v>109.7</v>
      </c>
      <c r="U58">
        <v>114</v>
      </c>
      <c r="V58">
        <v>114.4</v>
      </c>
      <c r="W58">
        <v>112.3</v>
      </c>
      <c r="X58">
        <v>114.6</v>
      </c>
    </row>
    <row r="59" spans="1:24" x14ac:dyDescent="0.25">
      <c r="A59" s="1">
        <f t="shared" si="0"/>
        <v>43586</v>
      </c>
      <c r="B59">
        <v>111.8</v>
      </c>
      <c r="C59">
        <v>114.1</v>
      </c>
      <c r="D59">
        <v>110.7</v>
      </c>
      <c r="E59">
        <v>108.6</v>
      </c>
      <c r="F59">
        <v>112.1</v>
      </c>
      <c r="G59">
        <v>111.6</v>
      </c>
      <c r="H59">
        <v>111.3</v>
      </c>
      <c r="I59">
        <v>114.3</v>
      </c>
      <c r="J59">
        <v>109.5</v>
      </c>
      <c r="K59">
        <v>106</v>
      </c>
      <c r="L59">
        <v>111.1</v>
      </c>
      <c r="M59">
        <v>112.5</v>
      </c>
      <c r="N59">
        <v>110.8</v>
      </c>
      <c r="O59">
        <v>113.3</v>
      </c>
      <c r="P59">
        <v>112.9</v>
      </c>
      <c r="Q59" t="e">
        <v>#N/A</v>
      </c>
      <c r="R59">
        <v>105.4</v>
      </c>
      <c r="S59">
        <v>111.8</v>
      </c>
      <c r="T59">
        <v>109.5</v>
      </c>
      <c r="U59">
        <v>114.3</v>
      </c>
      <c r="V59">
        <v>114.6</v>
      </c>
      <c r="W59">
        <v>111</v>
      </c>
      <c r="X59">
        <v>115</v>
      </c>
    </row>
    <row r="60" spans="1:24" x14ac:dyDescent="0.25">
      <c r="A60" s="1">
        <f t="shared" si="0"/>
        <v>43617</v>
      </c>
      <c r="B60">
        <v>111.5</v>
      </c>
      <c r="C60">
        <v>114.3</v>
      </c>
      <c r="D60">
        <v>110.4</v>
      </c>
      <c r="E60">
        <v>108.2</v>
      </c>
      <c r="F60">
        <v>112</v>
      </c>
      <c r="G60">
        <v>111.7</v>
      </c>
      <c r="H60">
        <v>111.3</v>
      </c>
      <c r="I60">
        <v>112.7</v>
      </c>
      <c r="J60">
        <v>108.9</v>
      </c>
      <c r="K60">
        <v>105.1</v>
      </c>
      <c r="L60">
        <v>110.6</v>
      </c>
      <c r="M60">
        <v>111.2</v>
      </c>
      <c r="N60">
        <v>110.8</v>
      </c>
      <c r="O60">
        <v>113.3</v>
      </c>
      <c r="P60">
        <v>112.7</v>
      </c>
      <c r="Q60" t="e">
        <v>#N/A</v>
      </c>
      <c r="R60">
        <v>105.5</v>
      </c>
      <c r="S60">
        <v>111.9</v>
      </c>
      <c r="T60">
        <v>109.4</v>
      </c>
      <c r="U60">
        <v>114.4</v>
      </c>
      <c r="V60">
        <v>114.8</v>
      </c>
      <c r="W60">
        <v>110.9</v>
      </c>
      <c r="X60">
        <v>115.1</v>
      </c>
    </row>
    <row r="61" spans="1:24" x14ac:dyDescent="0.25">
      <c r="A61" s="1">
        <f t="shared" si="0"/>
        <v>43647</v>
      </c>
      <c r="B61">
        <v>111.5</v>
      </c>
      <c r="C61">
        <v>114.5</v>
      </c>
      <c r="D61">
        <v>110.6</v>
      </c>
      <c r="E61">
        <v>108.4</v>
      </c>
      <c r="F61">
        <v>112</v>
      </c>
      <c r="G61">
        <v>111.9</v>
      </c>
      <c r="H61">
        <v>111.5</v>
      </c>
      <c r="I61">
        <v>114.2</v>
      </c>
      <c r="J61">
        <v>109.2</v>
      </c>
      <c r="K61">
        <v>104.9</v>
      </c>
      <c r="L61">
        <v>110.4</v>
      </c>
      <c r="M61">
        <v>110</v>
      </c>
      <c r="N61">
        <v>111.2</v>
      </c>
      <c r="O61">
        <v>113.4</v>
      </c>
      <c r="P61">
        <v>112</v>
      </c>
      <c r="Q61" t="e">
        <v>#N/A</v>
      </c>
      <c r="R61">
        <v>105.3</v>
      </c>
      <c r="S61">
        <v>112.1</v>
      </c>
      <c r="T61">
        <v>108.8</v>
      </c>
      <c r="U61">
        <v>114.4</v>
      </c>
      <c r="V61">
        <v>114.9</v>
      </c>
      <c r="W61">
        <v>113.5</v>
      </c>
      <c r="X61">
        <v>115.7</v>
      </c>
    </row>
    <row r="62" spans="1:24" x14ac:dyDescent="0.25">
      <c r="A62" s="1">
        <f t="shared" si="0"/>
        <v>43678</v>
      </c>
      <c r="B62">
        <v>111.5</v>
      </c>
      <c r="C62">
        <v>114.7</v>
      </c>
      <c r="D62">
        <v>110.6</v>
      </c>
      <c r="E62">
        <v>108.2</v>
      </c>
      <c r="F62">
        <v>112.1</v>
      </c>
      <c r="G62">
        <v>112.3</v>
      </c>
      <c r="H62">
        <v>111.9</v>
      </c>
      <c r="I62">
        <v>110.9</v>
      </c>
      <c r="J62">
        <v>109.2</v>
      </c>
      <c r="K62">
        <v>105.4</v>
      </c>
      <c r="L62">
        <v>110.4</v>
      </c>
      <c r="M62">
        <v>109.9</v>
      </c>
      <c r="N62">
        <v>111.3</v>
      </c>
      <c r="O62">
        <v>113.5</v>
      </c>
      <c r="P62">
        <v>111.5</v>
      </c>
      <c r="Q62" t="e">
        <v>#N/A</v>
      </c>
      <c r="R62">
        <v>105.5</v>
      </c>
      <c r="S62">
        <v>112.1</v>
      </c>
      <c r="T62">
        <v>108.8</v>
      </c>
      <c r="U62">
        <v>114.5</v>
      </c>
      <c r="V62">
        <v>115</v>
      </c>
      <c r="W62">
        <v>109.7</v>
      </c>
      <c r="X62">
        <v>115.9</v>
      </c>
    </row>
    <row r="63" spans="1:24" x14ac:dyDescent="0.25">
      <c r="A63" s="1">
        <f t="shared" si="0"/>
        <v>43709</v>
      </c>
      <c r="B63">
        <v>111.2</v>
      </c>
      <c r="C63">
        <v>114.6</v>
      </c>
      <c r="D63">
        <v>111</v>
      </c>
      <c r="E63">
        <v>108.4</v>
      </c>
      <c r="F63">
        <v>112.2</v>
      </c>
      <c r="G63">
        <v>112.1</v>
      </c>
      <c r="H63">
        <v>111.8</v>
      </c>
      <c r="I63">
        <v>113</v>
      </c>
      <c r="J63">
        <v>110</v>
      </c>
      <c r="K63">
        <v>104.4</v>
      </c>
      <c r="L63">
        <v>109.5</v>
      </c>
      <c r="M63">
        <v>107.3</v>
      </c>
      <c r="N63">
        <v>111.3</v>
      </c>
      <c r="O63">
        <v>113.7</v>
      </c>
      <c r="P63">
        <v>111.8</v>
      </c>
      <c r="Q63" t="e">
        <v>#N/A</v>
      </c>
      <c r="R63">
        <v>106</v>
      </c>
      <c r="S63">
        <v>112.2</v>
      </c>
      <c r="T63">
        <v>109.1</v>
      </c>
      <c r="U63">
        <v>114.7</v>
      </c>
      <c r="V63">
        <v>115.1</v>
      </c>
      <c r="W63">
        <v>111.9</v>
      </c>
      <c r="X63">
        <v>115.9</v>
      </c>
    </row>
    <row r="64" spans="1:24" x14ac:dyDescent="0.25">
      <c r="A64" s="1">
        <f t="shared" si="0"/>
        <v>43739</v>
      </c>
      <c r="B64">
        <v>111.2</v>
      </c>
      <c r="C64">
        <v>114.2</v>
      </c>
      <c r="D64">
        <v>111</v>
      </c>
      <c r="E64">
        <v>108.8</v>
      </c>
      <c r="F64">
        <v>111.6</v>
      </c>
      <c r="G64">
        <v>111.7</v>
      </c>
      <c r="H64">
        <v>111.5</v>
      </c>
      <c r="I64">
        <v>110.6</v>
      </c>
      <c r="J64">
        <v>110</v>
      </c>
      <c r="K64">
        <v>102.8</v>
      </c>
      <c r="L64">
        <v>109.9</v>
      </c>
      <c r="M64">
        <v>108.2</v>
      </c>
      <c r="N64">
        <v>111.3</v>
      </c>
      <c r="O64">
        <v>113.6</v>
      </c>
      <c r="P64">
        <v>111.5</v>
      </c>
      <c r="Q64">
        <v>105.9</v>
      </c>
      <c r="R64">
        <v>106</v>
      </c>
      <c r="S64">
        <v>112.1</v>
      </c>
      <c r="T64">
        <v>108.9</v>
      </c>
      <c r="U64">
        <v>114.7</v>
      </c>
      <c r="V64">
        <v>115.2</v>
      </c>
      <c r="W64">
        <v>112.8</v>
      </c>
      <c r="X64">
        <v>115.9</v>
      </c>
    </row>
    <row r="65" spans="1:24" x14ac:dyDescent="0.25">
      <c r="A65" s="1">
        <f t="shared" si="0"/>
        <v>43770</v>
      </c>
      <c r="B65">
        <v>110.5</v>
      </c>
      <c r="C65">
        <v>114.2</v>
      </c>
      <c r="D65">
        <v>110.9</v>
      </c>
      <c r="E65">
        <v>108.8</v>
      </c>
      <c r="F65">
        <v>111.4</v>
      </c>
      <c r="G65">
        <v>111.7</v>
      </c>
      <c r="H65">
        <v>111.6</v>
      </c>
      <c r="I65">
        <v>108.9</v>
      </c>
      <c r="J65">
        <v>109.8</v>
      </c>
      <c r="K65">
        <v>101.1</v>
      </c>
      <c r="L65">
        <v>108.6</v>
      </c>
      <c r="M65">
        <v>104.3</v>
      </c>
      <c r="N65">
        <v>111.2</v>
      </c>
      <c r="O65">
        <v>113.6</v>
      </c>
      <c r="P65">
        <v>110.7</v>
      </c>
      <c r="Q65">
        <v>106</v>
      </c>
      <c r="R65">
        <v>105.6</v>
      </c>
      <c r="S65">
        <v>112.4</v>
      </c>
      <c r="T65">
        <v>108.9</v>
      </c>
      <c r="U65">
        <v>114.6</v>
      </c>
      <c r="V65">
        <v>115.3</v>
      </c>
      <c r="W65">
        <v>112.8</v>
      </c>
      <c r="X65">
        <v>115.9</v>
      </c>
    </row>
    <row r="66" spans="1:24" x14ac:dyDescent="0.25">
      <c r="A66" s="1">
        <f t="shared" si="0"/>
        <v>43800</v>
      </c>
      <c r="B66">
        <v>110.4</v>
      </c>
      <c r="C66">
        <v>114.3</v>
      </c>
      <c r="D66">
        <v>111</v>
      </c>
      <c r="E66">
        <v>109.3</v>
      </c>
      <c r="F66">
        <v>111.5</v>
      </c>
      <c r="G66">
        <v>111.8</v>
      </c>
      <c r="H66">
        <v>111.7</v>
      </c>
      <c r="I66">
        <v>108.3</v>
      </c>
      <c r="J66">
        <v>109.9</v>
      </c>
      <c r="K66">
        <v>99.3</v>
      </c>
      <c r="L66">
        <v>108.4</v>
      </c>
      <c r="M66">
        <v>103.2</v>
      </c>
      <c r="N66">
        <v>111.4</v>
      </c>
      <c r="O66">
        <v>113.6</v>
      </c>
      <c r="P66">
        <v>110.6</v>
      </c>
      <c r="Q66">
        <v>105.6</v>
      </c>
      <c r="R66">
        <v>105.7</v>
      </c>
      <c r="S66">
        <v>112.6</v>
      </c>
      <c r="T66">
        <v>108.7</v>
      </c>
      <c r="U66">
        <v>114.7</v>
      </c>
      <c r="V66">
        <v>115.2</v>
      </c>
      <c r="W66">
        <v>112.5</v>
      </c>
      <c r="X66">
        <v>116.1</v>
      </c>
    </row>
    <row r="67" spans="1:24" x14ac:dyDescent="0.25">
      <c r="A67" s="1">
        <f t="shared" si="0"/>
        <v>43831</v>
      </c>
      <c r="B67">
        <v>111.4</v>
      </c>
      <c r="C67">
        <v>114.7</v>
      </c>
      <c r="D67">
        <v>111.3</v>
      </c>
      <c r="E67">
        <v>108.8</v>
      </c>
      <c r="F67">
        <v>111.9</v>
      </c>
      <c r="G67">
        <v>112.3</v>
      </c>
      <c r="H67">
        <v>112.3</v>
      </c>
      <c r="I67">
        <v>111.4</v>
      </c>
      <c r="J67">
        <v>109.9</v>
      </c>
      <c r="K67">
        <v>101.1</v>
      </c>
      <c r="L67">
        <v>110.1</v>
      </c>
      <c r="M67">
        <v>107.7</v>
      </c>
      <c r="N67">
        <v>111.5</v>
      </c>
      <c r="O67">
        <v>114</v>
      </c>
      <c r="P67">
        <v>110.4</v>
      </c>
      <c r="Q67">
        <v>105.7</v>
      </c>
      <c r="R67">
        <v>105.3</v>
      </c>
      <c r="S67">
        <v>112.9</v>
      </c>
      <c r="T67">
        <v>108.4</v>
      </c>
      <c r="U67">
        <v>114.8</v>
      </c>
      <c r="V67">
        <v>115.4</v>
      </c>
      <c r="W67">
        <v>112.4</v>
      </c>
      <c r="X67">
        <v>116.3</v>
      </c>
    </row>
    <row r="68" spans="1:24" x14ac:dyDescent="0.25">
      <c r="A68" s="1">
        <f t="shared" si="0"/>
        <v>43862</v>
      </c>
      <c r="B68">
        <v>111.7</v>
      </c>
      <c r="C68">
        <v>114.8</v>
      </c>
      <c r="D68">
        <v>111.1</v>
      </c>
      <c r="E68">
        <v>108.7</v>
      </c>
      <c r="F68">
        <v>111.6</v>
      </c>
      <c r="G68">
        <v>112.1</v>
      </c>
      <c r="H68">
        <v>112.2</v>
      </c>
      <c r="I68">
        <v>110</v>
      </c>
      <c r="J68">
        <v>109.6</v>
      </c>
      <c r="K68">
        <v>100.6</v>
      </c>
      <c r="L68">
        <v>110.7</v>
      </c>
      <c r="M68">
        <v>109.5</v>
      </c>
      <c r="N68">
        <v>111.6</v>
      </c>
      <c r="O68">
        <v>114.1</v>
      </c>
      <c r="P68">
        <v>110.4</v>
      </c>
      <c r="Q68">
        <v>105.7</v>
      </c>
      <c r="R68">
        <v>105.1</v>
      </c>
      <c r="S68">
        <v>113</v>
      </c>
      <c r="T68">
        <v>108.3</v>
      </c>
      <c r="U68">
        <v>114.9</v>
      </c>
      <c r="V68">
        <v>115.5</v>
      </c>
      <c r="W68">
        <v>111.5</v>
      </c>
      <c r="X68">
        <v>116.2</v>
      </c>
    </row>
    <row r="69" spans="1:24" x14ac:dyDescent="0.25">
      <c r="A69" s="1">
        <f t="shared" si="0"/>
        <v>43891</v>
      </c>
      <c r="B69">
        <v>110.8</v>
      </c>
      <c r="C69">
        <v>114.7</v>
      </c>
      <c r="D69">
        <v>110.2</v>
      </c>
      <c r="E69">
        <v>107.8</v>
      </c>
      <c r="F69">
        <v>111</v>
      </c>
      <c r="G69">
        <v>111.8</v>
      </c>
      <c r="H69">
        <v>111.9</v>
      </c>
      <c r="I69">
        <v>105.9</v>
      </c>
      <c r="J69">
        <v>108</v>
      </c>
      <c r="K69">
        <v>100.8</v>
      </c>
      <c r="L69">
        <v>109.3</v>
      </c>
      <c r="M69">
        <v>106.8</v>
      </c>
      <c r="N69">
        <v>111.3</v>
      </c>
      <c r="O69">
        <v>113.6</v>
      </c>
      <c r="P69">
        <v>109.7</v>
      </c>
      <c r="Q69">
        <v>105.6</v>
      </c>
      <c r="R69">
        <v>105</v>
      </c>
      <c r="S69">
        <v>112.6</v>
      </c>
      <c r="T69">
        <v>108.3</v>
      </c>
      <c r="U69">
        <v>114.7</v>
      </c>
      <c r="V69">
        <v>115.4</v>
      </c>
      <c r="W69">
        <v>112.9</v>
      </c>
      <c r="X69">
        <v>115.7</v>
      </c>
    </row>
    <row r="70" spans="1:24" x14ac:dyDescent="0.25">
      <c r="A70" s="1">
        <f t="shared" ref="A70:A114" si="1">EDATE(A69,1)</f>
        <v>43922</v>
      </c>
      <c r="B70">
        <v>108.9</v>
      </c>
      <c r="C70">
        <v>114.4</v>
      </c>
      <c r="D70">
        <v>109.4</v>
      </c>
      <c r="E70">
        <v>107.4</v>
      </c>
      <c r="F70">
        <v>110.1</v>
      </c>
      <c r="G70">
        <v>111.3</v>
      </c>
      <c r="H70">
        <v>111.4</v>
      </c>
      <c r="I70">
        <v>103.3</v>
      </c>
      <c r="J70">
        <v>106.6</v>
      </c>
      <c r="K70">
        <v>99.6</v>
      </c>
      <c r="L70">
        <v>106</v>
      </c>
      <c r="M70">
        <v>98.3</v>
      </c>
      <c r="N70">
        <v>111</v>
      </c>
      <c r="O70">
        <v>113.4</v>
      </c>
      <c r="P70">
        <v>108.2</v>
      </c>
      <c r="Q70">
        <v>105.4</v>
      </c>
      <c r="R70">
        <v>104.3</v>
      </c>
      <c r="S70">
        <v>112.1</v>
      </c>
      <c r="T70">
        <v>107.8</v>
      </c>
      <c r="U70">
        <v>114.3</v>
      </c>
      <c r="V70">
        <v>115.1</v>
      </c>
      <c r="W70">
        <v>110.6</v>
      </c>
      <c r="X70">
        <v>115</v>
      </c>
    </row>
    <row r="71" spans="1:24" x14ac:dyDescent="0.25">
      <c r="A71" s="1">
        <f t="shared" si="1"/>
        <v>43952</v>
      </c>
      <c r="B71">
        <v>108.7</v>
      </c>
      <c r="C71">
        <v>114.2</v>
      </c>
      <c r="D71">
        <v>109.5</v>
      </c>
      <c r="E71">
        <v>107.4</v>
      </c>
      <c r="F71">
        <v>110.3</v>
      </c>
      <c r="G71">
        <v>111.4</v>
      </c>
      <c r="H71">
        <v>111.2</v>
      </c>
      <c r="I71">
        <v>103.7</v>
      </c>
      <c r="J71">
        <v>106.6</v>
      </c>
      <c r="K71">
        <v>100.5</v>
      </c>
      <c r="L71">
        <v>105.8</v>
      </c>
      <c r="M71">
        <v>97.8</v>
      </c>
      <c r="N71">
        <v>110.9</v>
      </c>
      <c r="O71">
        <v>113.3</v>
      </c>
      <c r="P71">
        <v>106.1</v>
      </c>
      <c r="Q71">
        <v>105.5</v>
      </c>
      <c r="R71">
        <v>104.7</v>
      </c>
      <c r="S71">
        <v>111.9</v>
      </c>
      <c r="T71">
        <v>107.5</v>
      </c>
      <c r="U71">
        <v>113.9</v>
      </c>
      <c r="V71">
        <v>114.9</v>
      </c>
      <c r="W71">
        <v>109.8</v>
      </c>
      <c r="X71">
        <v>114.8</v>
      </c>
    </row>
    <row r="72" spans="1:24" x14ac:dyDescent="0.25">
      <c r="A72" s="1">
        <f t="shared" si="1"/>
        <v>43983</v>
      </c>
      <c r="B72">
        <v>108.8</v>
      </c>
      <c r="C72">
        <v>113.7</v>
      </c>
      <c r="D72">
        <v>108.8</v>
      </c>
      <c r="E72">
        <v>107.3</v>
      </c>
      <c r="F72">
        <v>110</v>
      </c>
      <c r="G72">
        <v>111.1</v>
      </c>
      <c r="H72">
        <v>110.7</v>
      </c>
      <c r="I72">
        <v>105.5</v>
      </c>
      <c r="J72">
        <v>106.2</v>
      </c>
      <c r="K72">
        <v>99.6</v>
      </c>
      <c r="L72">
        <v>106.3</v>
      </c>
      <c r="M72">
        <v>100.9</v>
      </c>
      <c r="N72">
        <v>110.3</v>
      </c>
      <c r="O72">
        <v>112.4</v>
      </c>
      <c r="P72">
        <v>106.2</v>
      </c>
      <c r="Q72">
        <v>104.6</v>
      </c>
      <c r="R72">
        <v>104.5</v>
      </c>
      <c r="S72">
        <v>111.5</v>
      </c>
      <c r="T72">
        <v>107.6</v>
      </c>
      <c r="U72">
        <v>114</v>
      </c>
      <c r="V72">
        <v>114.8</v>
      </c>
      <c r="W72">
        <v>108.8</v>
      </c>
      <c r="X72">
        <v>114.6</v>
      </c>
    </row>
    <row r="73" spans="1:24" x14ac:dyDescent="0.25">
      <c r="A73" s="1">
        <f t="shared" si="1"/>
        <v>44013</v>
      </c>
      <c r="B73">
        <v>109.9</v>
      </c>
      <c r="C73">
        <v>113.7</v>
      </c>
      <c r="D73">
        <v>108.9</v>
      </c>
      <c r="E73">
        <v>107.3</v>
      </c>
      <c r="F73">
        <v>110</v>
      </c>
      <c r="G73">
        <v>111.2</v>
      </c>
      <c r="H73">
        <v>110.7</v>
      </c>
      <c r="I73">
        <v>106</v>
      </c>
      <c r="J73">
        <v>106.3</v>
      </c>
      <c r="K73">
        <v>99.5</v>
      </c>
      <c r="L73">
        <v>108.4</v>
      </c>
      <c r="M73">
        <v>106.6</v>
      </c>
      <c r="N73">
        <v>110.3</v>
      </c>
      <c r="O73">
        <v>112.6</v>
      </c>
      <c r="P73">
        <v>107.3</v>
      </c>
      <c r="Q73">
        <v>104.7</v>
      </c>
      <c r="R73">
        <v>104</v>
      </c>
      <c r="S73">
        <v>111.8</v>
      </c>
      <c r="T73">
        <v>108</v>
      </c>
      <c r="U73">
        <v>114.4</v>
      </c>
      <c r="V73">
        <v>115.1</v>
      </c>
      <c r="W73">
        <v>108.5</v>
      </c>
      <c r="X73">
        <v>115.1</v>
      </c>
    </row>
    <row r="74" spans="1:24" x14ac:dyDescent="0.25">
      <c r="A74" s="1">
        <f t="shared" si="1"/>
        <v>44044</v>
      </c>
      <c r="B74">
        <v>110</v>
      </c>
      <c r="C74">
        <v>113.8</v>
      </c>
      <c r="D74">
        <v>109.1</v>
      </c>
      <c r="E74">
        <v>107.6</v>
      </c>
      <c r="F74">
        <v>110</v>
      </c>
      <c r="G74">
        <v>111.3</v>
      </c>
      <c r="H74">
        <v>110.8</v>
      </c>
      <c r="I74">
        <v>106.4</v>
      </c>
      <c r="J74">
        <v>106.4</v>
      </c>
      <c r="K74">
        <v>100.5</v>
      </c>
      <c r="L74">
        <v>108.3</v>
      </c>
      <c r="M74">
        <v>106.3</v>
      </c>
      <c r="N74">
        <v>110.4</v>
      </c>
      <c r="O74">
        <v>112.7</v>
      </c>
      <c r="P74">
        <v>107.6</v>
      </c>
      <c r="Q74">
        <v>104.5</v>
      </c>
      <c r="R74">
        <v>103.7</v>
      </c>
      <c r="S74">
        <v>112.2</v>
      </c>
      <c r="T74">
        <v>107.9</v>
      </c>
      <c r="U74">
        <v>114.5</v>
      </c>
      <c r="V74">
        <v>115.4</v>
      </c>
      <c r="W74">
        <v>110.2</v>
      </c>
      <c r="X74">
        <v>115.5</v>
      </c>
    </row>
    <row r="75" spans="1:24" x14ac:dyDescent="0.25">
      <c r="A75" s="1">
        <f t="shared" si="1"/>
        <v>44075</v>
      </c>
      <c r="B75">
        <v>110.1</v>
      </c>
      <c r="C75">
        <v>114.4</v>
      </c>
      <c r="D75">
        <v>109.2</v>
      </c>
      <c r="E75">
        <v>107.4</v>
      </c>
      <c r="F75">
        <v>110.5</v>
      </c>
      <c r="G75">
        <v>111.9</v>
      </c>
      <c r="H75">
        <v>111.5</v>
      </c>
      <c r="I75">
        <v>106.5</v>
      </c>
      <c r="J75">
        <v>106.7</v>
      </c>
      <c r="K75">
        <v>100.1</v>
      </c>
      <c r="L75">
        <v>108.2</v>
      </c>
      <c r="M75">
        <v>105.6</v>
      </c>
      <c r="N75">
        <v>110.8</v>
      </c>
      <c r="O75">
        <v>113.2</v>
      </c>
      <c r="P75">
        <v>107.9</v>
      </c>
      <c r="Q75">
        <v>105.1</v>
      </c>
      <c r="R75">
        <v>104.4</v>
      </c>
      <c r="S75">
        <v>112.1</v>
      </c>
      <c r="T75">
        <v>108</v>
      </c>
      <c r="U75">
        <v>114.6</v>
      </c>
      <c r="V75">
        <v>115.5</v>
      </c>
      <c r="W75">
        <v>110.8</v>
      </c>
      <c r="X75">
        <v>115.1</v>
      </c>
    </row>
    <row r="76" spans="1:24" x14ac:dyDescent="0.25">
      <c r="A76" s="1">
        <f t="shared" si="1"/>
        <v>44105</v>
      </c>
      <c r="B76">
        <v>109.5</v>
      </c>
      <c r="C76">
        <v>114.4</v>
      </c>
      <c r="D76">
        <v>109.1</v>
      </c>
      <c r="E76">
        <v>107.3</v>
      </c>
      <c r="F76">
        <v>110.4</v>
      </c>
      <c r="G76">
        <v>111.7</v>
      </c>
      <c r="H76">
        <v>111.3</v>
      </c>
      <c r="I76">
        <v>106.8</v>
      </c>
      <c r="J76">
        <v>106.6</v>
      </c>
      <c r="K76">
        <v>100.3</v>
      </c>
      <c r="L76">
        <v>107.2</v>
      </c>
      <c r="M76">
        <v>103.1</v>
      </c>
      <c r="N76">
        <v>110.5</v>
      </c>
      <c r="O76">
        <v>112.9</v>
      </c>
      <c r="P76">
        <v>107.9</v>
      </c>
      <c r="Q76">
        <v>105.3</v>
      </c>
      <c r="R76">
        <v>104.4</v>
      </c>
      <c r="S76">
        <v>111.9</v>
      </c>
      <c r="T76">
        <v>108.4</v>
      </c>
      <c r="U76">
        <v>114.4</v>
      </c>
      <c r="V76">
        <v>115.3</v>
      </c>
      <c r="W76">
        <v>110.5</v>
      </c>
      <c r="X76">
        <v>114.9</v>
      </c>
    </row>
    <row r="77" spans="1:24" x14ac:dyDescent="0.25">
      <c r="A77" s="1">
        <f t="shared" si="1"/>
        <v>44136</v>
      </c>
      <c r="B77">
        <v>109.5</v>
      </c>
      <c r="C77">
        <v>114.5</v>
      </c>
      <c r="D77">
        <v>109.3</v>
      </c>
      <c r="E77">
        <v>107.8</v>
      </c>
      <c r="F77">
        <v>110.8</v>
      </c>
      <c r="G77">
        <v>111.9</v>
      </c>
      <c r="H77">
        <v>111.6</v>
      </c>
      <c r="I77">
        <v>107.7</v>
      </c>
      <c r="J77">
        <v>107</v>
      </c>
      <c r="K77">
        <v>100.7</v>
      </c>
      <c r="L77">
        <v>106.9</v>
      </c>
      <c r="M77">
        <v>102.1</v>
      </c>
      <c r="N77">
        <v>110.4</v>
      </c>
      <c r="O77">
        <v>113</v>
      </c>
      <c r="P77">
        <v>108.7</v>
      </c>
      <c r="Q77">
        <v>105.3</v>
      </c>
      <c r="R77">
        <v>104.3</v>
      </c>
      <c r="S77">
        <v>112</v>
      </c>
      <c r="T77">
        <v>108.5</v>
      </c>
      <c r="U77">
        <v>114.5</v>
      </c>
      <c r="V77">
        <v>115.3</v>
      </c>
      <c r="W77">
        <v>110.3</v>
      </c>
      <c r="X77">
        <v>114.9</v>
      </c>
    </row>
    <row r="78" spans="1:24" x14ac:dyDescent="0.25">
      <c r="A78" s="1">
        <f t="shared" si="1"/>
        <v>44166</v>
      </c>
      <c r="B78">
        <v>109.8</v>
      </c>
      <c r="C78">
        <v>114.9</v>
      </c>
      <c r="D78">
        <v>109.5</v>
      </c>
      <c r="E78">
        <v>108.1</v>
      </c>
      <c r="F78">
        <v>111.2</v>
      </c>
      <c r="G78">
        <v>112.1</v>
      </c>
      <c r="H78">
        <v>112</v>
      </c>
      <c r="I78">
        <v>108.5</v>
      </c>
      <c r="J78">
        <v>107.4</v>
      </c>
      <c r="K78">
        <v>101.6</v>
      </c>
      <c r="L78">
        <v>107.4</v>
      </c>
      <c r="M78">
        <v>102.9</v>
      </c>
      <c r="N78">
        <v>110.6</v>
      </c>
      <c r="O78">
        <v>113.2</v>
      </c>
      <c r="P78">
        <v>109.9</v>
      </c>
      <c r="Q78">
        <v>105.6</v>
      </c>
      <c r="R78">
        <v>104.6</v>
      </c>
      <c r="S78">
        <v>112.2</v>
      </c>
      <c r="T78">
        <v>108.8</v>
      </c>
      <c r="U78">
        <v>114.6</v>
      </c>
      <c r="V78">
        <v>115.4</v>
      </c>
      <c r="W78">
        <v>111.1</v>
      </c>
      <c r="X78">
        <v>115.1</v>
      </c>
    </row>
    <row r="79" spans="1:24" x14ac:dyDescent="0.25">
      <c r="A79" s="1">
        <f t="shared" si="1"/>
        <v>44197</v>
      </c>
      <c r="B79">
        <v>111.2</v>
      </c>
      <c r="C79">
        <v>116.3</v>
      </c>
      <c r="D79">
        <v>110.7</v>
      </c>
      <c r="E79">
        <v>107.7</v>
      </c>
      <c r="F79">
        <v>113.5</v>
      </c>
      <c r="G79">
        <v>113.6</v>
      </c>
      <c r="H79">
        <v>113.6</v>
      </c>
      <c r="I79">
        <v>109.4</v>
      </c>
      <c r="J79">
        <v>108</v>
      </c>
      <c r="K79">
        <v>106.1</v>
      </c>
      <c r="L79">
        <v>109</v>
      </c>
      <c r="M79">
        <v>105.5</v>
      </c>
      <c r="N79">
        <v>111.4</v>
      </c>
      <c r="O79">
        <v>114.2</v>
      </c>
      <c r="P79">
        <v>111.5</v>
      </c>
      <c r="Q79">
        <v>106.4</v>
      </c>
      <c r="R79">
        <v>105.4</v>
      </c>
      <c r="S79">
        <v>112.9</v>
      </c>
      <c r="T79">
        <v>108.9</v>
      </c>
      <c r="U79">
        <v>114.6</v>
      </c>
      <c r="V79">
        <v>115.6</v>
      </c>
      <c r="W79">
        <v>114.7</v>
      </c>
      <c r="X79">
        <v>115.4</v>
      </c>
    </row>
    <row r="80" spans="1:24" x14ac:dyDescent="0.25">
      <c r="A80" s="1">
        <f t="shared" si="1"/>
        <v>44228</v>
      </c>
      <c r="B80">
        <v>112.1</v>
      </c>
      <c r="C80">
        <v>117.2</v>
      </c>
      <c r="D80">
        <v>111.2</v>
      </c>
      <c r="E80">
        <v>108.2</v>
      </c>
      <c r="F80">
        <v>114.6</v>
      </c>
      <c r="G80">
        <v>114.5</v>
      </c>
      <c r="H80">
        <v>114.4</v>
      </c>
      <c r="I80">
        <v>111.6</v>
      </c>
      <c r="J80">
        <v>108.8</v>
      </c>
      <c r="K80">
        <v>110.6</v>
      </c>
      <c r="L80">
        <v>110.2</v>
      </c>
      <c r="M80">
        <v>107.8</v>
      </c>
      <c r="N80">
        <v>111.8</v>
      </c>
      <c r="O80">
        <v>114.4</v>
      </c>
      <c r="P80">
        <v>113.3</v>
      </c>
      <c r="Q80">
        <v>107.3</v>
      </c>
      <c r="R80">
        <v>106.4</v>
      </c>
      <c r="S80">
        <v>113.2</v>
      </c>
      <c r="T80">
        <v>110.1</v>
      </c>
      <c r="U80">
        <v>114.8</v>
      </c>
      <c r="V80">
        <v>115.7</v>
      </c>
      <c r="W80">
        <v>117.5</v>
      </c>
      <c r="X80">
        <v>115.7</v>
      </c>
    </row>
    <row r="81" spans="1:24" x14ac:dyDescent="0.25">
      <c r="A81" s="1">
        <f t="shared" si="1"/>
        <v>44256</v>
      </c>
      <c r="B81">
        <v>113.5</v>
      </c>
      <c r="C81">
        <v>118.3</v>
      </c>
      <c r="D81">
        <v>112.4</v>
      </c>
      <c r="E81">
        <v>109.4</v>
      </c>
      <c r="F81">
        <v>115.9</v>
      </c>
      <c r="G81">
        <v>115.4</v>
      </c>
      <c r="H81">
        <v>115.6</v>
      </c>
      <c r="I81">
        <v>114</v>
      </c>
      <c r="J81">
        <v>110.5</v>
      </c>
      <c r="K81">
        <v>114</v>
      </c>
      <c r="L81">
        <v>111.8</v>
      </c>
      <c r="M81">
        <v>110.9</v>
      </c>
      <c r="N81">
        <v>112.9</v>
      </c>
      <c r="O81">
        <v>115.7</v>
      </c>
      <c r="P81">
        <v>118.1</v>
      </c>
      <c r="Q81">
        <v>108.2</v>
      </c>
      <c r="R81">
        <v>106.7</v>
      </c>
      <c r="S81">
        <v>114</v>
      </c>
      <c r="T81">
        <v>110.4</v>
      </c>
      <c r="U81">
        <v>115.1</v>
      </c>
      <c r="V81">
        <v>116</v>
      </c>
      <c r="W81">
        <v>120.8</v>
      </c>
      <c r="X81">
        <v>116.4</v>
      </c>
    </row>
    <row r="82" spans="1:24" x14ac:dyDescent="0.25">
      <c r="A82" s="1">
        <f t="shared" si="1"/>
        <v>44287</v>
      </c>
      <c r="B82">
        <v>113.8</v>
      </c>
      <c r="C82">
        <v>118.9</v>
      </c>
      <c r="D82">
        <v>112.3</v>
      </c>
      <c r="E82">
        <v>109.5</v>
      </c>
      <c r="F82">
        <v>116.3</v>
      </c>
      <c r="G82">
        <v>115.8</v>
      </c>
      <c r="H82">
        <v>115.8</v>
      </c>
      <c r="I82">
        <v>113.5</v>
      </c>
      <c r="J82">
        <v>110.2</v>
      </c>
      <c r="K82">
        <v>115.4</v>
      </c>
      <c r="L82">
        <v>112</v>
      </c>
      <c r="M82">
        <v>111.8</v>
      </c>
      <c r="N82">
        <v>113.3</v>
      </c>
      <c r="O82">
        <v>115.6</v>
      </c>
      <c r="P82">
        <v>122.2</v>
      </c>
      <c r="Q82">
        <v>108.5</v>
      </c>
      <c r="R82">
        <v>108</v>
      </c>
      <c r="S82">
        <v>114.3</v>
      </c>
      <c r="T82">
        <v>110.3</v>
      </c>
      <c r="U82">
        <v>114.8</v>
      </c>
      <c r="V82">
        <v>116</v>
      </c>
      <c r="W82">
        <v>118.8</v>
      </c>
      <c r="X82">
        <v>116.3</v>
      </c>
    </row>
    <row r="83" spans="1:24" x14ac:dyDescent="0.25">
      <c r="A83" s="1">
        <f t="shared" si="1"/>
        <v>44317</v>
      </c>
      <c r="B83">
        <v>114</v>
      </c>
      <c r="C83">
        <v>119</v>
      </c>
      <c r="D83">
        <v>112.5</v>
      </c>
      <c r="E83">
        <v>109.6</v>
      </c>
      <c r="F83">
        <v>116.7</v>
      </c>
      <c r="G83">
        <v>115.7</v>
      </c>
      <c r="H83">
        <v>115.5</v>
      </c>
      <c r="I83">
        <v>113.3</v>
      </c>
      <c r="J83">
        <v>110.3</v>
      </c>
      <c r="K83">
        <v>118.1</v>
      </c>
      <c r="L83">
        <v>111.9</v>
      </c>
      <c r="M83">
        <v>111.2</v>
      </c>
      <c r="N83">
        <v>113.7</v>
      </c>
      <c r="O83">
        <v>115.6</v>
      </c>
      <c r="P83">
        <v>124.3</v>
      </c>
      <c r="Q83">
        <v>108.6</v>
      </c>
      <c r="R83">
        <v>108.3</v>
      </c>
      <c r="S83">
        <v>114.6</v>
      </c>
      <c r="T83">
        <v>111.3</v>
      </c>
      <c r="U83">
        <v>115.1</v>
      </c>
      <c r="V83">
        <v>116</v>
      </c>
      <c r="W83">
        <v>119.3</v>
      </c>
      <c r="X83">
        <v>116.3</v>
      </c>
    </row>
    <row r="84" spans="1:24" x14ac:dyDescent="0.25">
      <c r="A84" s="1">
        <f t="shared" si="1"/>
        <v>44348</v>
      </c>
      <c r="B84">
        <v>114.8</v>
      </c>
      <c r="C84">
        <v>120.8</v>
      </c>
      <c r="D84">
        <v>113.1</v>
      </c>
      <c r="E84">
        <v>110.1</v>
      </c>
      <c r="F84">
        <v>118.5</v>
      </c>
      <c r="G84">
        <v>116.7</v>
      </c>
      <c r="H84">
        <v>116.2</v>
      </c>
      <c r="I84">
        <v>114.4</v>
      </c>
      <c r="J84">
        <v>110.9</v>
      </c>
      <c r="K84">
        <v>123.5</v>
      </c>
      <c r="L84">
        <v>112.6</v>
      </c>
      <c r="M84">
        <v>111.7</v>
      </c>
      <c r="N84">
        <v>114.9</v>
      </c>
      <c r="O84">
        <v>116.1</v>
      </c>
      <c r="P84">
        <v>123.2</v>
      </c>
      <c r="Q84">
        <v>109.2</v>
      </c>
      <c r="R84">
        <v>109.1</v>
      </c>
      <c r="S84">
        <v>115.4</v>
      </c>
      <c r="T84">
        <v>112.1</v>
      </c>
      <c r="U84">
        <v>115.3</v>
      </c>
      <c r="V84">
        <v>115.5</v>
      </c>
      <c r="W84">
        <v>118.5</v>
      </c>
      <c r="X84">
        <v>116.7</v>
      </c>
    </row>
    <row r="85" spans="1:24" x14ac:dyDescent="0.25">
      <c r="A85" s="1">
        <f t="shared" si="1"/>
        <v>44378</v>
      </c>
      <c r="B85">
        <v>115.9</v>
      </c>
      <c r="C85">
        <v>122.7</v>
      </c>
      <c r="D85">
        <v>113.3</v>
      </c>
      <c r="E85">
        <v>110.5</v>
      </c>
      <c r="F85">
        <v>120.5</v>
      </c>
      <c r="G85">
        <v>118.3</v>
      </c>
      <c r="H85">
        <v>117.7</v>
      </c>
      <c r="I85">
        <v>115.8</v>
      </c>
      <c r="J85">
        <v>111.3</v>
      </c>
      <c r="K85">
        <v>129.30000000000001</v>
      </c>
      <c r="L85">
        <v>113.9</v>
      </c>
      <c r="M85">
        <v>113.9</v>
      </c>
      <c r="N85">
        <v>115.7</v>
      </c>
      <c r="O85">
        <v>116.2</v>
      </c>
      <c r="P85">
        <v>123.6</v>
      </c>
      <c r="Q85">
        <v>109.3</v>
      </c>
      <c r="R85">
        <v>109.7</v>
      </c>
      <c r="S85">
        <v>116.2</v>
      </c>
      <c r="T85">
        <v>112.5</v>
      </c>
      <c r="U85">
        <v>115.3</v>
      </c>
      <c r="V85">
        <v>115.5</v>
      </c>
      <c r="W85">
        <v>121.9</v>
      </c>
      <c r="X85">
        <v>117.1</v>
      </c>
    </row>
    <row r="86" spans="1:24" x14ac:dyDescent="0.25">
      <c r="A86" s="1">
        <f t="shared" si="1"/>
        <v>44409</v>
      </c>
      <c r="B86">
        <v>116.1</v>
      </c>
      <c r="C86">
        <v>123.1</v>
      </c>
      <c r="D86">
        <v>113.4</v>
      </c>
      <c r="E86">
        <v>110.2</v>
      </c>
      <c r="F86">
        <v>120.9</v>
      </c>
      <c r="G86">
        <v>118.5</v>
      </c>
      <c r="H86">
        <v>117.9</v>
      </c>
      <c r="I86">
        <v>115.4</v>
      </c>
      <c r="J86">
        <v>111</v>
      </c>
      <c r="K86">
        <v>131.1</v>
      </c>
      <c r="L86">
        <v>114.1</v>
      </c>
      <c r="M86">
        <v>114.4</v>
      </c>
      <c r="N86">
        <v>116</v>
      </c>
      <c r="O86">
        <v>116.2</v>
      </c>
      <c r="P86">
        <v>122.6</v>
      </c>
      <c r="Q86">
        <v>109.4</v>
      </c>
      <c r="R86">
        <v>110</v>
      </c>
      <c r="S86">
        <v>116.4</v>
      </c>
      <c r="T86">
        <v>111.9</v>
      </c>
      <c r="U86">
        <v>114.7</v>
      </c>
      <c r="V86">
        <v>115.3</v>
      </c>
      <c r="W86">
        <v>129.4</v>
      </c>
      <c r="X86">
        <v>117.3</v>
      </c>
    </row>
    <row r="87" spans="1:24" x14ac:dyDescent="0.25">
      <c r="A87" s="1">
        <f t="shared" si="1"/>
        <v>44440</v>
      </c>
      <c r="B87">
        <v>116.4</v>
      </c>
      <c r="C87">
        <v>123.7</v>
      </c>
      <c r="D87">
        <v>113.7</v>
      </c>
      <c r="E87">
        <v>110.4</v>
      </c>
      <c r="F87">
        <v>121.4</v>
      </c>
      <c r="G87">
        <v>118.6</v>
      </c>
      <c r="H87">
        <v>118</v>
      </c>
      <c r="I87">
        <v>116.1</v>
      </c>
      <c r="J87">
        <v>111.5</v>
      </c>
      <c r="K87">
        <v>138</v>
      </c>
      <c r="L87">
        <v>114.2</v>
      </c>
      <c r="M87">
        <v>114.3</v>
      </c>
      <c r="N87">
        <v>116.2</v>
      </c>
      <c r="O87">
        <v>116.3</v>
      </c>
      <c r="P87">
        <v>123.3</v>
      </c>
      <c r="Q87">
        <v>110.1</v>
      </c>
      <c r="R87">
        <v>111.4</v>
      </c>
      <c r="S87">
        <v>116.5</v>
      </c>
      <c r="T87">
        <v>113.2</v>
      </c>
      <c r="U87">
        <v>114.9</v>
      </c>
      <c r="V87">
        <v>115.4</v>
      </c>
      <c r="W87">
        <v>135.5</v>
      </c>
      <c r="X87">
        <v>117</v>
      </c>
    </row>
    <row r="88" spans="1:24" x14ac:dyDescent="0.25">
      <c r="A88" s="1">
        <f t="shared" si="1"/>
        <v>44470</v>
      </c>
      <c r="B88">
        <v>117.5</v>
      </c>
      <c r="C88">
        <v>123.6</v>
      </c>
      <c r="D88">
        <v>114.6</v>
      </c>
      <c r="E88">
        <v>111.2</v>
      </c>
      <c r="F88">
        <v>121.5</v>
      </c>
      <c r="G88">
        <v>118.8</v>
      </c>
      <c r="H88">
        <v>118.3</v>
      </c>
      <c r="I88">
        <v>119.7</v>
      </c>
      <c r="J88">
        <v>113.1</v>
      </c>
      <c r="K88">
        <v>137.6</v>
      </c>
      <c r="L88">
        <v>115.8</v>
      </c>
      <c r="M88">
        <v>117.7</v>
      </c>
      <c r="N88">
        <v>116.5</v>
      </c>
      <c r="O88">
        <v>116.1</v>
      </c>
      <c r="P88">
        <v>124.6</v>
      </c>
      <c r="Q88">
        <v>110.2</v>
      </c>
      <c r="R88">
        <v>112.5</v>
      </c>
      <c r="S88">
        <v>116.9</v>
      </c>
      <c r="T88">
        <v>114.2</v>
      </c>
      <c r="U88">
        <v>115.3</v>
      </c>
      <c r="V88">
        <v>115.4</v>
      </c>
      <c r="W88">
        <v>139.6</v>
      </c>
      <c r="X88">
        <v>117.6</v>
      </c>
    </row>
    <row r="89" spans="1:24" x14ac:dyDescent="0.25">
      <c r="A89" s="1">
        <f t="shared" si="1"/>
        <v>44501</v>
      </c>
      <c r="B89">
        <v>118.2</v>
      </c>
      <c r="C89">
        <v>124</v>
      </c>
      <c r="D89">
        <v>115</v>
      </c>
      <c r="E89">
        <v>112.1</v>
      </c>
      <c r="F89">
        <v>121.8</v>
      </c>
      <c r="G89">
        <v>119.2</v>
      </c>
      <c r="H89">
        <v>118.8</v>
      </c>
      <c r="I89">
        <v>120.3</v>
      </c>
      <c r="J89">
        <v>113.4</v>
      </c>
      <c r="K89">
        <v>135.69999999999999</v>
      </c>
      <c r="L89">
        <v>118</v>
      </c>
      <c r="M89">
        <v>123.3</v>
      </c>
      <c r="N89">
        <v>117.1</v>
      </c>
      <c r="O89">
        <v>116.4</v>
      </c>
      <c r="P89">
        <v>126.6</v>
      </c>
      <c r="Q89">
        <v>110.3</v>
      </c>
      <c r="R89">
        <v>113.2</v>
      </c>
      <c r="S89">
        <v>117.3</v>
      </c>
      <c r="T89">
        <v>114.3</v>
      </c>
      <c r="U89">
        <v>115.5</v>
      </c>
      <c r="V89">
        <v>115.6</v>
      </c>
      <c r="W89">
        <v>144.5</v>
      </c>
      <c r="X89">
        <v>117.7</v>
      </c>
    </row>
    <row r="90" spans="1:24" x14ac:dyDescent="0.25">
      <c r="A90" s="1">
        <f t="shared" si="1"/>
        <v>44531</v>
      </c>
      <c r="B90">
        <v>118.8</v>
      </c>
      <c r="C90">
        <v>124.4</v>
      </c>
      <c r="D90">
        <v>114.9</v>
      </c>
      <c r="E90">
        <v>111.9</v>
      </c>
      <c r="F90">
        <v>121.8</v>
      </c>
      <c r="G90">
        <v>119.6</v>
      </c>
      <c r="H90">
        <v>119.5</v>
      </c>
      <c r="I90">
        <v>119.5</v>
      </c>
      <c r="J90">
        <v>113.2</v>
      </c>
      <c r="K90">
        <v>138</v>
      </c>
      <c r="L90">
        <v>117</v>
      </c>
      <c r="M90">
        <v>120</v>
      </c>
      <c r="N90">
        <v>116.7</v>
      </c>
      <c r="O90">
        <v>116.5</v>
      </c>
      <c r="P90">
        <v>126.9</v>
      </c>
      <c r="Q90">
        <v>110.9</v>
      </c>
      <c r="R90">
        <v>112.5</v>
      </c>
      <c r="S90">
        <v>117.5</v>
      </c>
      <c r="T90">
        <v>114.8</v>
      </c>
      <c r="U90">
        <v>115.5</v>
      </c>
      <c r="V90">
        <v>115.9</v>
      </c>
      <c r="W90">
        <v>136</v>
      </c>
      <c r="X90">
        <v>117.8</v>
      </c>
    </row>
    <row r="91" spans="1:24" s="175" customFormat="1" x14ac:dyDescent="0.25">
      <c r="A91" s="174">
        <f t="shared" si="1"/>
        <v>44562</v>
      </c>
      <c r="B91" s="175">
        <v>119.9</v>
      </c>
      <c r="C91" s="175">
        <v>125.3</v>
      </c>
      <c r="D91" s="175">
        <v>117.4</v>
      </c>
      <c r="E91" s="175">
        <v>114.2</v>
      </c>
      <c r="F91" s="175">
        <v>123.6</v>
      </c>
      <c r="G91" s="175">
        <v>121</v>
      </c>
      <c r="H91" s="175">
        <v>121.2</v>
      </c>
      <c r="I91" s="175">
        <v>124.1</v>
      </c>
      <c r="J91" s="175">
        <v>115.1</v>
      </c>
      <c r="K91" s="175">
        <v>138.69999999999999</v>
      </c>
      <c r="L91" s="175">
        <v>118.5</v>
      </c>
      <c r="M91" s="175">
        <v>121.1</v>
      </c>
      <c r="N91" s="175">
        <v>118.8</v>
      </c>
      <c r="O91" s="175">
        <v>118.3</v>
      </c>
      <c r="P91" s="175">
        <v>130.19999999999999</v>
      </c>
      <c r="Q91" s="175">
        <v>114.1</v>
      </c>
      <c r="R91" s="175">
        <v>116.9</v>
      </c>
      <c r="S91" s="175">
        <v>118.7</v>
      </c>
      <c r="T91" s="175">
        <v>117.8</v>
      </c>
      <c r="U91" s="175">
        <v>116.1</v>
      </c>
      <c r="V91" s="175">
        <v>116.3</v>
      </c>
      <c r="W91" s="175">
        <v>135.80000000000001</v>
      </c>
      <c r="X91" s="175">
        <v>118.6</v>
      </c>
    </row>
    <row r="92" spans="1:24" x14ac:dyDescent="0.25">
      <c r="A92" s="1">
        <f t="shared" si="1"/>
        <v>44593</v>
      </c>
      <c r="B92">
        <v>121.3</v>
      </c>
      <c r="C92">
        <v>125.7</v>
      </c>
      <c r="D92">
        <v>118.3</v>
      </c>
      <c r="E92" s="179">
        <v>114.9</v>
      </c>
      <c r="F92">
        <v>124.4</v>
      </c>
      <c r="G92">
        <v>121.6</v>
      </c>
      <c r="H92">
        <v>121.9</v>
      </c>
      <c r="I92">
        <v>127.1</v>
      </c>
      <c r="J92">
        <v>116.3</v>
      </c>
      <c r="K92">
        <v>140</v>
      </c>
      <c r="L92">
        <v>120.7</v>
      </c>
      <c r="M92">
        <v>125.7</v>
      </c>
      <c r="N92">
        <v>119.4</v>
      </c>
      <c r="O92">
        <v>118.9</v>
      </c>
      <c r="P92">
        <v>131.19999999999999</v>
      </c>
      <c r="Q92">
        <v>114.7</v>
      </c>
      <c r="R92">
        <v>116.9</v>
      </c>
      <c r="S92">
        <v>119.9</v>
      </c>
      <c r="T92">
        <v>118.7</v>
      </c>
      <c r="U92">
        <v>116.5</v>
      </c>
      <c r="V92">
        <v>116.8</v>
      </c>
      <c r="W92">
        <v>138.5</v>
      </c>
      <c r="X92">
        <v>119.3</v>
      </c>
    </row>
    <row r="93" spans="1:24" x14ac:dyDescent="0.25">
      <c r="A93" s="1">
        <f t="shared" si="1"/>
        <v>44621</v>
      </c>
      <c r="B93">
        <v>124.7</v>
      </c>
      <c r="C93">
        <v>127.2</v>
      </c>
      <c r="D93">
        <v>121.6</v>
      </c>
      <c r="E93">
        <v>118.1</v>
      </c>
      <c r="F93">
        <v>128.4</v>
      </c>
      <c r="G93">
        <v>123.4</v>
      </c>
      <c r="H93">
        <v>123.7</v>
      </c>
      <c r="I93">
        <v>138.69999999999999</v>
      </c>
      <c r="J93">
        <v>121.5</v>
      </c>
      <c r="K93">
        <v>143.80000000000001</v>
      </c>
      <c r="L93">
        <v>125.6</v>
      </c>
      <c r="M93">
        <v>134.30000000000001</v>
      </c>
      <c r="N93">
        <v>121</v>
      </c>
      <c r="O93">
        <v>120.8</v>
      </c>
      <c r="P93">
        <v>132.6</v>
      </c>
      <c r="Q93">
        <v>116.4</v>
      </c>
      <c r="R93">
        <v>119.2</v>
      </c>
      <c r="S93">
        <v>121.2</v>
      </c>
      <c r="T93">
        <v>120.5</v>
      </c>
      <c r="U93">
        <v>117.4</v>
      </c>
      <c r="V93">
        <v>117.3</v>
      </c>
      <c r="W93">
        <v>136.5</v>
      </c>
      <c r="X93">
        <v>121.4</v>
      </c>
    </row>
    <row r="94" spans="1:24" x14ac:dyDescent="0.25">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121.8</v>
      </c>
      <c r="O94">
        <v>121.1</v>
      </c>
      <c r="P94">
        <v>136.69999999999999</v>
      </c>
      <c r="Q94">
        <v>117.8</v>
      </c>
      <c r="R94">
        <v>120.7</v>
      </c>
      <c r="S94">
        <v>121.7</v>
      </c>
      <c r="T94">
        <v>121.6</v>
      </c>
      <c r="U94">
        <v>117.4</v>
      </c>
      <c r="V94">
        <v>117.6</v>
      </c>
      <c r="W94">
        <v>137.19999999999999</v>
      </c>
      <c r="X94">
        <v>120.7</v>
      </c>
    </row>
    <row r="95" spans="1:24" x14ac:dyDescent="0.25">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123.2</v>
      </c>
      <c r="O95">
        <v>121.3</v>
      </c>
      <c r="P95">
        <v>139.69999999999999</v>
      </c>
      <c r="Q95">
        <v>117.8</v>
      </c>
      <c r="R95" s="217">
        <v>123.6</v>
      </c>
      <c r="S95">
        <v>122.4</v>
      </c>
      <c r="T95">
        <v>122.3</v>
      </c>
      <c r="U95">
        <v>117.9</v>
      </c>
      <c r="V95">
        <v>118.1</v>
      </c>
      <c r="W95">
        <v>137.30000000000001</v>
      </c>
      <c r="X95">
        <v>121.3</v>
      </c>
    </row>
    <row r="96" spans="1:24" x14ac:dyDescent="0.25">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124.5</v>
      </c>
      <c r="O96">
        <v>122.3</v>
      </c>
      <c r="P96">
        <v>139</v>
      </c>
      <c r="Q96">
        <v>119.9</v>
      </c>
      <c r="R96">
        <v>126.4</v>
      </c>
      <c r="S96">
        <v>123.9</v>
      </c>
      <c r="T96">
        <v>125.4</v>
      </c>
      <c r="U96">
        <v>118.9</v>
      </c>
      <c r="V96">
        <v>118.7</v>
      </c>
      <c r="W96">
        <v>138.80000000000001</v>
      </c>
      <c r="X96">
        <v>122.9</v>
      </c>
    </row>
    <row r="97" spans="1:24" x14ac:dyDescent="0.25">
      <c r="A97" s="1">
        <f t="shared" si="1"/>
        <v>44743</v>
      </c>
      <c r="B97" s="220">
        <v>129.1</v>
      </c>
      <c r="C97" s="220">
        <v>132.19999999999999</v>
      </c>
      <c r="D97" s="220">
        <v>124.3</v>
      </c>
      <c r="E97">
        <v>124.2</v>
      </c>
      <c r="F97">
        <v>133</v>
      </c>
      <c r="G97">
        <v>127.9</v>
      </c>
      <c r="H97">
        <v>127.1</v>
      </c>
      <c r="I97">
        <v>139.9</v>
      </c>
      <c r="J97">
        <v>122.2</v>
      </c>
      <c r="K97">
        <v>161.6</v>
      </c>
      <c r="L97">
        <v>130.5</v>
      </c>
      <c r="M97">
        <v>142.5</v>
      </c>
      <c r="N97">
        <v>125.1</v>
      </c>
      <c r="O97">
        <v>122.7</v>
      </c>
      <c r="P97">
        <v>138.69999999999999</v>
      </c>
      <c r="Q97">
        <v>122.6</v>
      </c>
      <c r="R97">
        <v>128.69999999999999</v>
      </c>
      <c r="S97">
        <v>124.3</v>
      </c>
      <c r="T97">
        <v>128.30000000000001</v>
      </c>
      <c r="U97">
        <v>119.5</v>
      </c>
      <c r="V97">
        <v>119.3</v>
      </c>
      <c r="W97">
        <v>140.19999999999999</v>
      </c>
      <c r="X97">
        <v>123.4</v>
      </c>
    </row>
    <row r="98" spans="1:24" x14ac:dyDescent="0.25">
      <c r="A98" s="1">
        <f t="shared" si="1"/>
        <v>44774</v>
      </c>
      <c r="B98">
        <v>128.9</v>
      </c>
      <c r="C98">
        <v>132.1</v>
      </c>
      <c r="D98">
        <v>123.8</v>
      </c>
      <c r="E98">
        <v>122.3</v>
      </c>
      <c r="F98">
        <v>132.19999999999999</v>
      </c>
      <c r="G98">
        <v>127.8</v>
      </c>
      <c r="H98">
        <v>127.1</v>
      </c>
      <c r="I98">
        <v>136</v>
      </c>
      <c r="J98">
        <v>121.4</v>
      </c>
      <c r="K98">
        <v>152.1</v>
      </c>
      <c r="L98">
        <v>130</v>
      </c>
      <c r="M98">
        <v>142.19999999999999</v>
      </c>
      <c r="N98">
        <v>125</v>
      </c>
      <c r="O98">
        <v>122.3</v>
      </c>
      <c r="P98">
        <v>137.5</v>
      </c>
      <c r="Q98">
        <v>123.3</v>
      </c>
      <c r="R98">
        <v>128.9</v>
      </c>
      <c r="S98">
        <v>124.1</v>
      </c>
      <c r="T98">
        <v>128.69999999999999</v>
      </c>
      <c r="U98">
        <v>119.3</v>
      </c>
      <c r="V98">
        <v>119.6</v>
      </c>
      <c r="W98">
        <v>159.80000000000001</v>
      </c>
      <c r="X98">
        <v>123.3</v>
      </c>
    </row>
    <row r="99" spans="1:24" x14ac:dyDescent="0.25">
      <c r="A99" s="1">
        <f t="shared" si="1"/>
        <v>44805</v>
      </c>
      <c r="B99">
        <v>128.4</v>
      </c>
      <c r="C99">
        <v>130.9</v>
      </c>
      <c r="D99">
        <v>123.1</v>
      </c>
      <c r="E99">
        <v>120.1</v>
      </c>
      <c r="F99">
        <v>130.6</v>
      </c>
      <c r="G99">
        <v>126.4</v>
      </c>
      <c r="H99">
        <v>126</v>
      </c>
      <c r="I99">
        <v>131.19999999999999</v>
      </c>
      <c r="J99">
        <v>120.3</v>
      </c>
      <c r="K99">
        <v>150.9</v>
      </c>
      <c r="L99">
        <v>130.19999999999999</v>
      </c>
      <c r="M99">
        <v>144.69999999999999</v>
      </c>
      <c r="N99">
        <v>124.8</v>
      </c>
      <c r="O99">
        <v>122.1</v>
      </c>
      <c r="P99">
        <v>136</v>
      </c>
      <c r="Q99">
        <v>120.9</v>
      </c>
      <c r="R99">
        <v>127.6</v>
      </c>
      <c r="S99">
        <v>123.2</v>
      </c>
      <c r="T99">
        <v>125.7</v>
      </c>
      <c r="U99">
        <v>119.1</v>
      </c>
      <c r="V99">
        <v>119.3</v>
      </c>
      <c r="W99">
        <v>140.69999999999999</v>
      </c>
      <c r="X99">
        <v>122.2</v>
      </c>
    </row>
    <row r="100" spans="1:24" x14ac:dyDescent="0.25">
      <c r="A100" s="1">
        <f t="shared" si="1"/>
        <v>44835</v>
      </c>
    </row>
    <row r="101" spans="1:24" x14ac:dyDescent="0.25">
      <c r="A101" s="1">
        <f t="shared" si="1"/>
        <v>44866</v>
      </c>
      <c r="B101" s="238"/>
    </row>
    <row r="102" spans="1:24" x14ac:dyDescent="0.25">
      <c r="A102" s="1">
        <f t="shared" si="1"/>
        <v>44896</v>
      </c>
    </row>
    <row r="103" spans="1:24" x14ac:dyDescent="0.25">
      <c r="A103" s="1">
        <f t="shared" si="1"/>
        <v>44927</v>
      </c>
    </row>
    <row r="104" spans="1:24" x14ac:dyDescent="0.25">
      <c r="A104" s="1">
        <f t="shared" si="1"/>
        <v>44958</v>
      </c>
    </row>
    <row r="105" spans="1:24" x14ac:dyDescent="0.25">
      <c r="A105" s="1">
        <f t="shared" si="1"/>
        <v>44986</v>
      </c>
    </row>
    <row r="106" spans="1:24" x14ac:dyDescent="0.25">
      <c r="A106" s="1">
        <f t="shared" si="1"/>
        <v>45017</v>
      </c>
    </row>
    <row r="107" spans="1:24" x14ac:dyDescent="0.25">
      <c r="A107" s="1">
        <f t="shared" si="1"/>
        <v>45047</v>
      </c>
    </row>
    <row r="108" spans="1:24" x14ac:dyDescent="0.25">
      <c r="A108" s="1">
        <f t="shared" si="1"/>
        <v>45078</v>
      </c>
    </row>
    <row r="109" spans="1:24" x14ac:dyDescent="0.25">
      <c r="A109" s="1">
        <f t="shared" si="1"/>
        <v>45108</v>
      </c>
    </row>
    <row r="110" spans="1:24" x14ac:dyDescent="0.25">
      <c r="A110" s="1">
        <f t="shared" si="1"/>
        <v>45139</v>
      </c>
    </row>
    <row r="111" spans="1:24" x14ac:dyDescent="0.25">
      <c r="A111" s="1">
        <f t="shared" si="1"/>
        <v>45170</v>
      </c>
    </row>
    <row r="112" spans="1:24" x14ac:dyDescent="0.25">
      <c r="A112" s="1">
        <f t="shared" si="1"/>
        <v>45200</v>
      </c>
    </row>
    <row r="113" spans="1:1" x14ac:dyDescent="0.25">
      <c r="A113" s="1">
        <f t="shared" si="1"/>
        <v>45231</v>
      </c>
    </row>
    <row r="114" spans="1:1" x14ac:dyDescent="0.25">
      <c r="A114" s="1">
        <f t="shared" si="1"/>
        <v>45261</v>
      </c>
    </row>
    <row r="115" spans="1:1" x14ac:dyDescent="0.25">
      <c r="A115" s="1">
        <f>EDATE(A114,1)</f>
        <v>45292</v>
      </c>
    </row>
    <row r="116" spans="1:1" x14ac:dyDescent="0.25">
      <c r="A116" s="1">
        <f t="shared" ref="A116:A126" si="2">EDATE(A115,1)</f>
        <v>45323</v>
      </c>
    </row>
    <row r="117" spans="1:1" x14ac:dyDescent="0.25">
      <c r="A117" s="1">
        <f t="shared" si="2"/>
        <v>45352</v>
      </c>
    </row>
    <row r="118" spans="1:1" x14ac:dyDescent="0.25">
      <c r="A118" s="1">
        <f t="shared" si="2"/>
        <v>45383</v>
      </c>
    </row>
    <row r="119" spans="1:1" x14ac:dyDescent="0.25">
      <c r="A119" s="1">
        <f t="shared" si="2"/>
        <v>45413</v>
      </c>
    </row>
    <row r="120" spans="1:1" x14ac:dyDescent="0.25">
      <c r="A120" s="1">
        <f t="shared" si="2"/>
        <v>45444</v>
      </c>
    </row>
    <row r="121" spans="1:1" x14ac:dyDescent="0.25">
      <c r="A121" s="1">
        <f t="shared" si="2"/>
        <v>45474</v>
      </c>
    </row>
    <row r="122" spans="1:1" x14ac:dyDescent="0.25">
      <c r="A122" s="1">
        <f t="shared" si="2"/>
        <v>45505</v>
      </c>
    </row>
    <row r="123" spans="1:1" x14ac:dyDescent="0.25">
      <c r="A123" s="1">
        <f t="shared" si="2"/>
        <v>45536</v>
      </c>
    </row>
    <row r="124" spans="1:1" x14ac:dyDescent="0.25">
      <c r="A124" s="1">
        <f t="shared" si="2"/>
        <v>45566</v>
      </c>
    </row>
    <row r="125" spans="1:1" x14ac:dyDescent="0.25">
      <c r="A125" s="1">
        <f t="shared" si="2"/>
        <v>45597</v>
      </c>
    </row>
    <row r="126" spans="1:1" x14ac:dyDescent="0.25">
      <c r="A126" s="1">
        <f t="shared" si="2"/>
        <v>45627</v>
      </c>
    </row>
    <row r="127" spans="1:1" x14ac:dyDescent="0.25">
      <c r="A127" s="1"/>
    </row>
  </sheetData>
  <sheetProtection algorithmName="SHA-512" hashValue="luXSMS3FOd/V+2YDjEs9YEthrbtxoa0YOz7ZO9IhBxcO34v3XrjZD+/2cAHqtobkfxgwRmbXYLF4FI1UqYl8FA==" saltValue="KCGUx7/gBh1GuVRbPi9IkA==" spinCount="100000" sheet="1" insertColumns="0" insertRows="0" insertHyperlinks="0" deleteColumns="0" deleteRows="0" sort="0" autoFilter="0"/>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48"/>
  <sheetViews>
    <sheetView showGridLines="0" zoomScale="80" zoomScaleNormal="80" workbookViewId="0">
      <selection activeCell="B4" sqref="B4"/>
    </sheetView>
  </sheetViews>
  <sheetFormatPr baseColWidth="10" defaultRowHeight="15" x14ac:dyDescent="0.25"/>
  <sheetData>
    <row r="1" spans="1:16" x14ac:dyDescent="0.25">
      <c r="A1" s="271" t="str">
        <f>"EVOLUTION DES INDEX ET INDICES TP A FIN "&amp;'A MODIFIER'!B4&amp;" EN CUMUL DEPUIS JANVIER"</f>
        <v>EVOLUTION DES INDEX ET INDICES TP A FIN SEPTEMBRE 2022 EN CUMUL DEPUIS JANVIER</v>
      </c>
      <c r="B1" s="271"/>
      <c r="C1" s="271"/>
      <c r="D1" s="271"/>
      <c r="E1" s="271"/>
      <c r="F1" s="271"/>
      <c r="G1" s="271"/>
      <c r="H1" s="271"/>
      <c r="I1" s="271"/>
      <c r="J1" s="271"/>
      <c r="K1" s="271"/>
      <c r="L1" s="271"/>
      <c r="M1" s="271"/>
      <c r="N1" s="271"/>
      <c r="O1" s="271"/>
    </row>
    <row r="2" spans="1:16" x14ac:dyDescent="0.25">
      <c r="A2" s="13" t="str">
        <f>'A MODIFIER'!A5</f>
        <v>*/2021 = Cumul janv 2022-sept 2022 / Cumul janv 2021-sept 2021</v>
      </c>
      <c r="C2" s="13"/>
      <c r="D2" s="13"/>
      <c r="E2" s="13"/>
      <c r="F2" s="13"/>
      <c r="G2" s="13"/>
      <c r="H2" s="13"/>
      <c r="K2" s="13" t="str">
        <f>'A MODIFIER'!A6</f>
        <v>*/2020 = Cumul janv 2022-sept 2022 / Cumul janv 2020-sept 2020</v>
      </c>
      <c r="L2" s="12"/>
      <c r="M2" s="12"/>
      <c r="N2" s="12"/>
    </row>
    <row r="3" spans="1:16" x14ac:dyDescent="0.25">
      <c r="A3" s="59"/>
      <c r="B3" s="12"/>
      <c r="C3" s="12"/>
      <c r="D3" s="12"/>
      <c r="E3" s="12"/>
      <c r="G3" s="12"/>
      <c r="H3" s="12"/>
      <c r="I3" s="12"/>
      <c r="J3" s="12"/>
      <c r="K3" s="12"/>
      <c r="L3" s="12"/>
      <c r="M3" s="12"/>
      <c r="N3" s="12"/>
    </row>
    <row r="4" spans="1:16" x14ac:dyDescent="0.25">
      <c r="A4" s="61" t="s">
        <v>181</v>
      </c>
      <c r="B4" s="62" t="s">
        <v>25</v>
      </c>
      <c r="C4" s="12"/>
      <c r="D4" s="12"/>
      <c r="E4" s="63"/>
      <c r="F4" s="277" t="str">
        <f>B4&amp;" - "&amp;VLOOKUP(B4,'NOMS INDEX'!A1:B23,2,FALSE)</f>
        <v>TP02 - Travaux de génie civil et d’ouvrages d’art neufs ou rénovation</v>
      </c>
      <c r="G4" s="277"/>
      <c r="H4" s="277"/>
      <c r="I4" s="277"/>
      <c r="J4" s="277"/>
      <c r="K4" s="277"/>
      <c r="L4" s="277"/>
      <c r="M4" s="12"/>
      <c r="N4" s="12"/>
    </row>
    <row r="5" spans="1:16" x14ac:dyDescent="0.25">
      <c r="A5" s="63"/>
      <c r="B5" s="63"/>
      <c r="C5" s="63"/>
      <c r="D5" s="63"/>
      <c r="E5" s="63"/>
      <c r="F5" s="12"/>
      <c r="G5" s="64"/>
      <c r="H5" s="64"/>
      <c r="I5" s="12"/>
      <c r="J5" s="12"/>
      <c r="K5" s="12"/>
      <c r="L5" s="12"/>
      <c r="M5" s="12"/>
      <c r="N5" s="12"/>
    </row>
    <row r="6" spans="1:16" x14ac:dyDescent="0.25">
      <c r="A6" s="47" t="str">
        <f>"Evolution du TP01 et du "&amp;$B$4</f>
        <v>Evolution du TP01 et du TP02</v>
      </c>
      <c r="B6" s="47"/>
      <c r="C6" s="47"/>
      <c r="D6" s="47"/>
      <c r="E6" s="47"/>
      <c r="F6" s="47"/>
      <c r="G6" s="65"/>
      <c r="H6" s="65"/>
      <c r="I6" s="65"/>
      <c r="J6" s="12"/>
      <c r="K6" s="275" t="str">
        <f>"Composition globale du "&amp;B4</f>
        <v>Composition globale du TP02</v>
      </c>
      <c r="L6" s="275"/>
      <c r="M6" s="275"/>
      <c r="N6" s="275"/>
      <c r="O6" s="275"/>
    </row>
    <row r="7" spans="1:16" x14ac:dyDescent="0.25">
      <c r="A7" s="12"/>
      <c r="B7" s="12"/>
      <c r="C7" s="12"/>
      <c r="D7" s="12"/>
      <c r="E7" s="12"/>
      <c r="F7" s="12"/>
      <c r="G7" s="64"/>
      <c r="H7" s="64"/>
      <c r="I7" s="64"/>
      <c r="J7" s="12"/>
      <c r="K7" s="12"/>
      <c r="L7" s="12"/>
      <c r="M7" s="12"/>
      <c r="N7" s="12"/>
    </row>
    <row r="8" spans="1:16" x14ac:dyDescent="0.25">
      <c r="A8" s="66"/>
      <c r="B8" s="66"/>
      <c r="C8" s="66"/>
      <c r="D8" s="12"/>
      <c r="E8" s="12"/>
      <c r="F8" s="12"/>
      <c r="G8" s="66"/>
      <c r="H8" s="67" t="str">
        <f>'A MODIFIER'!A9</f>
        <v>*/2020</v>
      </c>
      <c r="I8" s="67" t="str">
        <f>'A MODIFIER'!A10</f>
        <v>*/2021</v>
      </c>
      <c r="J8" s="12"/>
      <c r="K8" s="12"/>
      <c r="L8" s="12"/>
      <c r="M8" s="12"/>
      <c r="N8" s="12"/>
    </row>
    <row r="9" spans="1:16" x14ac:dyDescent="0.25">
      <c r="A9" s="68"/>
      <c r="B9" s="69"/>
      <c r="C9" s="69"/>
      <c r="D9" s="12"/>
      <c r="E9" s="12"/>
      <c r="F9" s="12"/>
      <c r="G9" s="70" t="s">
        <v>24</v>
      </c>
      <c r="H9" s="215">
        <f>VLOOKUP(G9,'EVOL INDEX DEPUIS JANVIER'!A8:D30,4,FALSE)</f>
        <v>0.14642027668383295</v>
      </c>
      <c r="I9" s="215">
        <f>VLOOKUP(G9,'EVOL INDEX DEPUIS JANVIER'!A8:D30,3,FALSE)</f>
        <v>0.10459233313874305</v>
      </c>
      <c r="J9" s="67"/>
      <c r="K9" s="12"/>
      <c r="L9" s="12"/>
      <c r="M9" s="12"/>
      <c r="N9" s="12"/>
      <c r="P9" s="5"/>
    </row>
    <row r="10" spans="1:16" x14ac:dyDescent="0.25">
      <c r="A10" s="12"/>
      <c r="B10" s="12"/>
      <c r="C10" s="12"/>
      <c r="D10" s="12"/>
      <c r="E10" s="12"/>
      <c r="F10" s="12"/>
      <c r="G10" s="72" t="str">
        <f>B4</f>
        <v>TP02</v>
      </c>
      <c r="H10" s="216">
        <f>VLOOKUP(G10,'EVOL INDEX DEPUIS JANVIER'!A8:D30,4,FALSE)</f>
        <v>0.13759237650719558</v>
      </c>
      <c r="I10" s="216">
        <f>VLOOKUP(G10,'EVOL INDEX DEPUIS JANVIER'!A8:D30,3,FALSE)</f>
        <v>8.3240740740740726E-2</v>
      </c>
      <c r="J10" s="71"/>
      <c r="K10" s="12"/>
      <c r="L10" s="12"/>
      <c r="M10" s="12"/>
      <c r="N10" s="12"/>
    </row>
    <row r="11" spans="1:16" x14ac:dyDescent="0.25">
      <c r="A11" s="12"/>
      <c r="B11" s="12"/>
      <c r="C11" s="12"/>
      <c r="D11" s="12"/>
      <c r="E11" s="12"/>
      <c r="F11" s="12"/>
      <c r="G11" s="12"/>
      <c r="H11" s="12"/>
      <c r="I11" s="12"/>
      <c r="J11" s="73"/>
      <c r="K11" s="12"/>
      <c r="L11" s="12"/>
      <c r="M11" s="12"/>
      <c r="N11" s="12"/>
    </row>
    <row r="12" spans="1:16" x14ac:dyDescent="0.25">
      <c r="A12" s="12"/>
      <c r="B12" s="12"/>
      <c r="C12" s="12"/>
      <c r="D12" s="12"/>
      <c r="E12" s="12"/>
      <c r="F12" s="12"/>
      <c r="G12" s="271" t="str">
        <f>"Part du "&amp;B4&amp;" dans le TP01"</f>
        <v>Part du TP02 dans le TP01</v>
      </c>
      <c r="H12" s="271"/>
      <c r="I12" s="271"/>
      <c r="J12" s="12"/>
      <c r="K12" s="12"/>
      <c r="L12" s="12"/>
      <c r="M12" s="12"/>
      <c r="N12" s="12"/>
    </row>
    <row r="13" spans="1:16" x14ac:dyDescent="0.25">
      <c r="A13" s="12"/>
      <c r="B13" s="12"/>
      <c r="C13" s="12"/>
      <c r="D13" s="12"/>
      <c r="E13" s="12"/>
      <c r="F13" s="12"/>
      <c r="G13" s="12"/>
      <c r="H13" s="12"/>
      <c r="I13" s="12"/>
      <c r="J13" s="12"/>
      <c r="K13" s="12"/>
      <c r="L13" s="12"/>
      <c r="M13" s="12"/>
      <c r="N13" s="12"/>
    </row>
    <row r="14" spans="1:16" x14ac:dyDescent="0.25">
      <c r="A14" s="12"/>
      <c r="B14" s="12"/>
      <c r="C14" s="12"/>
      <c r="D14" s="12"/>
      <c r="E14" s="12"/>
      <c r="F14" s="12"/>
      <c r="G14" s="12"/>
      <c r="H14" s="12"/>
      <c r="I14" s="12"/>
      <c r="J14" s="12"/>
      <c r="K14" s="12"/>
      <c r="L14" s="12"/>
      <c r="M14" s="12"/>
      <c r="N14" s="12"/>
    </row>
    <row r="15" spans="1:16" x14ac:dyDescent="0.25">
      <c r="A15" s="74"/>
      <c r="B15" s="12"/>
      <c r="C15" s="12"/>
      <c r="D15" s="12"/>
      <c r="E15" s="12"/>
      <c r="F15" s="12"/>
      <c r="G15" s="67"/>
      <c r="H15" s="12"/>
      <c r="I15" s="12"/>
      <c r="J15" s="12"/>
      <c r="K15" s="12"/>
      <c r="L15" s="12"/>
      <c r="M15" s="12"/>
      <c r="N15" s="12"/>
    </row>
    <row r="16" spans="1:16" x14ac:dyDescent="0.25">
      <c r="A16" s="12"/>
      <c r="B16" s="12"/>
      <c r="C16" s="12"/>
      <c r="D16" s="12"/>
      <c r="E16" s="12"/>
      <c r="F16" s="12"/>
      <c r="G16" s="71"/>
      <c r="H16" s="12"/>
      <c r="I16" s="12"/>
      <c r="J16" s="12"/>
      <c r="K16" s="12"/>
      <c r="L16" s="12"/>
      <c r="M16" s="12"/>
      <c r="N16" s="12"/>
    </row>
    <row r="17" spans="1:15" x14ac:dyDescent="0.25">
      <c r="A17" s="12"/>
      <c r="B17" s="12"/>
      <c r="C17" s="12"/>
      <c r="D17" s="12"/>
      <c r="E17" s="12"/>
      <c r="F17" s="12"/>
      <c r="G17" s="71"/>
      <c r="H17" s="12"/>
      <c r="I17" s="12"/>
      <c r="J17" s="12"/>
      <c r="K17" s="12"/>
      <c r="L17" s="12"/>
      <c r="M17" s="12"/>
      <c r="N17" s="12"/>
    </row>
    <row r="18" spans="1:15" x14ac:dyDescent="0.25">
      <c r="A18" s="276" t="s">
        <v>182</v>
      </c>
      <c r="B18" s="276"/>
      <c r="C18" s="276"/>
      <c r="D18" s="276"/>
      <c r="E18" s="276"/>
      <c r="F18" s="276"/>
      <c r="G18" s="276"/>
      <c r="H18" s="276"/>
      <c r="I18" s="276"/>
      <c r="J18" s="276"/>
      <c r="K18" s="276"/>
      <c r="L18" s="276"/>
      <c r="M18" s="276"/>
      <c r="N18" s="276"/>
      <c r="O18" s="276"/>
    </row>
    <row r="19" spans="1:15" s="297" customFormat="1" ht="20.25" customHeight="1" x14ac:dyDescent="0.25">
      <c r="A19" s="295"/>
      <c r="B19" s="295"/>
      <c r="C19" s="295"/>
      <c r="D19" s="295"/>
      <c r="E19" s="295"/>
      <c r="F19" s="296" t="str">
        <f>'A MODIFIER'!A10</f>
        <v>*/2021</v>
      </c>
      <c r="G19" s="296"/>
      <c r="H19" s="295"/>
      <c r="I19" s="295"/>
      <c r="J19" s="295"/>
      <c r="K19" s="295"/>
      <c r="L19" s="295"/>
      <c r="M19" s="295"/>
      <c r="N19" s="295"/>
    </row>
    <row r="20" spans="1:15" ht="24" x14ac:dyDescent="0.25">
      <c r="A20" s="75"/>
      <c r="B20" s="76" t="str">
        <f>'A MODIFIER'!A9</f>
        <v>*/2020</v>
      </c>
      <c r="C20" s="76" t="str">
        <f>'A MODIFIER'!A10</f>
        <v>*/2021</v>
      </c>
      <c r="D20" s="76" t="str">
        <f>"Part dans le "&amp;B4</f>
        <v>Part dans le TP02</v>
      </c>
      <c r="E20" s="12"/>
      <c r="F20" s="12"/>
      <c r="G20" s="12"/>
      <c r="H20" s="12"/>
      <c r="I20" s="12"/>
      <c r="J20" s="12"/>
      <c r="K20" s="12"/>
      <c r="L20" s="12"/>
      <c r="M20" s="12"/>
      <c r="N20" s="12"/>
    </row>
    <row r="21" spans="1:15" x14ac:dyDescent="0.25">
      <c r="A21" s="77" t="s">
        <v>134</v>
      </c>
      <c r="B21" s="198">
        <f>INDEX('DEPUIS JANVIER'!B40:E80,MATCH('RESULTATS DEPUIS JANVIER'!A21,'DEPUIS JANVIER'!C40:C80,0),MATCH(B20,'DEPUIS JANVIER'!B39:E39,0))</f>
        <v>9.0231170768083624E-2</v>
      </c>
      <c r="C21" s="198">
        <f>INDEX('DEPUIS JANVIER'!B40:E80,MATCH('RESULTATS DEPUIS JANVIER'!A21,'DEPUIS JANVIER'!C40:C80,0),MATCH(C20,'DEPUIS JANVIER'!B39:E39,0))</f>
        <v>6.106791083462948E-2</v>
      </c>
      <c r="D21" s="79">
        <f>INDEX(compo_index,MATCH('RESULTATS DEPUIS JANVIER'!B4,'COMPOSITION INDEX'!A1:A26,0),MATCH(A21,'COMPOSITION INDEX'!A2:AR2,0))</f>
        <v>0.15</v>
      </c>
      <c r="E21" s="12"/>
      <c r="F21" s="12"/>
      <c r="G21" s="12"/>
      <c r="H21" s="12"/>
      <c r="I21" s="12"/>
      <c r="J21" s="12"/>
      <c r="K21" s="12"/>
      <c r="L21" s="12"/>
      <c r="M21" s="12"/>
      <c r="N21" s="12"/>
    </row>
    <row r="22" spans="1:15" x14ac:dyDescent="0.25">
      <c r="A22" s="77" t="s">
        <v>135</v>
      </c>
      <c r="B22" s="198">
        <f>INDEX('DEPUIS JANVIER'!B40:E80,MATCH('RESULTATS DEPUIS JANVIER'!A22,'DEPUIS JANVIER'!C40:C80,0),MATCH(B20,'DEPUIS JANVIER'!B39:E39,0))</f>
        <v>-2.785265049415897E-3</v>
      </c>
      <c r="C22" s="198">
        <f>INDEX('DEPUIS JANVIER'!B40:E80,MATCH('RESULTATS DEPUIS JANVIER'!A22,'DEPUIS JANVIER'!C40:C80,0),MATCH(C20,'DEPUIS JANVIER'!B39:E39,0))</f>
        <v>3.5262206148283237E-3</v>
      </c>
      <c r="D22" s="79">
        <f>INDEX(compo_index,MATCH('RESULTATS DEPUIS JANVIER'!B4,'COMPOSITION INDEX'!A1:A26,0),MATCH(A22,'COMPOSITION INDEX'!A2:AR2,0))</f>
        <v>0.55000000000000004</v>
      </c>
      <c r="E22" s="12"/>
      <c r="F22" s="12"/>
      <c r="G22" s="12"/>
      <c r="H22" s="12"/>
      <c r="I22" s="12"/>
      <c r="J22" s="12"/>
      <c r="K22" s="12"/>
      <c r="L22" s="12"/>
      <c r="M22" s="12"/>
      <c r="N22" s="12"/>
    </row>
    <row r="23" spans="1:15" x14ac:dyDescent="0.25">
      <c r="A23" s="80" t="s">
        <v>137</v>
      </c>
      <c r="B23" s="198">
        <f>INDEX('DEPUIS JANVIER'!B40:E80,MATCH('RESULTATS DEPUIS JANVIER'!A23,'DEPUIS JANVIER'!C40:C80,0),MATCH(B20,'DEPUIS JANVIER'!B39:E39,0))</f>
        <v>0.83458129028007733</v>
      </c>
      <c r="C23" s="198">
        <f>INDEX('DEPUIS JANVIER'!B40:E80,MATCH('RESULTATS DEPUIS JANVIER'!A23,'DEPUIS JANVIER'!C40:C80,0),MATCH(C20,'DEPUIS JANVIER'!B39:E39,0))</f>
        <v>0.56175489439496218</v>
      </c>
      <c r="D23" s="79">
        <f>INDEX(compo_index,MATCH('RESULTATS DEPUIS JANVIER'!B4,'COMPOSITION INDEX'!A1:A26,0),MATCH(A23,'COMPOSITION INDEX'!A2:AR2,0))</f>
        <v>0</v>
      </c>
      <c r="E23" s="12"/>
      <c r="F23" s="12"/>
      <c r="G23" s="12"/>
      <c r="H23" s="12"/>
      <c r="I23" s="12"/>
      <c r="J23" s="12"/>
      <c r="K23" s="12"/>
      <c r="L23" s="12"/>
      <c r="M23" s="12"/>
      <c r="N23" s="12"/>
    </row>
    <row r="24" spans="1:15" x14ac:dyDescent="0.25">
      <c r="A24" s="77" t="s">
        <v>138</v>
      </c>
      <c r="B24" s="198">
        <f>INDEX('DEPUIS JANVIER'!B40:E80,MATCH('RESULTATS DEPUIS JANVIER'!A24,'DEPUIS JANVIER'!C40:C80,0),MATCH(B20,'DEPUIS JANVIER'!B39:E39,0))</f>
        <v>0.44251655361757103</v>
      </c>
      <c r="C24" s="198">
        <f>INDEX('DEPUIS JANVIER'!B40:E80,MATCH('RESULTATS DEPUIS JANVIER'!A24,'DEPUIS JANVIER'!C40:C80,0),MATCH(C20,'DEPUIS JANVIER'!B39:E39,0))</f>
        <v>0.32894112833483691</v>
      </c>
      <c r="D24" s="79">
        <f>INDEX(compo_index,MATCH('RESULTATS DEPUIS JANVIER'!B4,'COMPOSITION INDEX'!A1:A26,0),MATCH(A24,'COMPOSITION INDEX'!A2:AR2,0))</f>
        <v>0</v>
      </c>
      <c r="E24" s="12"/>
      <c r="F24" s="69"/>
      <c r="G24" s="12"/>
      <c r="H24" s="12"/>
      <c r="I24" s="12"/>
      <c r="J24" s="12"/>
      <c r="K24" s="12"/>
      <c r="L24" s="12"/>
      <c r="M24" s="12"/>
      <c r="N24" s="12"/>
    </row>
    <row r="25" spans="1:15" x14ac:dyDescent="0.25">
      <c r="A25" s="80" t="s">
        <v>139</v>
      </c>
      <c r="B25" s="198">
        <f>INDEX('DEPUIS JANVIER'!B40:E80,MATCH('RESULTATS DEPUIS JANVIER'!A25,'DEPUIS JANVIER'!C40:C80,0),MATCH(B20,'DEPUIS JANVIER'!B39:E39,0))</f>
        <v>6.7882037533511852E-2</v>
      </c>
      <c r="C25" s="198">
        <f>INDEX('DEPUIS JANVIER'!B40:E80,MATCH('RESULTATS DEPUIS JANVIER'!A25,'DEPUIS JANVIER'!C40:C80,0),MATCH(C20,'DEPUIS JANVIER'!B39:E39,0))</f>
        <v>5.7224758466928316E-2</v>
      </c>
      <c r="D25" s="79">
        <f>INDEX(compo_index,MATCH('RESULTATS DEPUIS JANVIER'!B4,'COMPOSITION INDEX'!A1:A26,0),MATCH(A25,'COMPOSITION INDEX'!A2:AR2,0))</f>
        <v>0.01</v>
      </c>
      <c r="E25" s="12"/>
      <c r="F25" s="81"/>
      <c r="G25" s="12"/>
      <c r="H25" s="12"/>
      <c r="I25" s="12"/>
      <c r="J25" s="12"/>
      <c r="K25" s="12"/>
      <c r="L25" s="12"/>
      <c r="M25" s="12"/>
      <c r="N25" s="12"/>
    </row>
    <row r="26" spans="1:15" x14ac:dyDescent="0.25">
      <c r="A26" s="80" t="s">
        <v>183</v>
      </c>
      <c r="B26" s="198">
        <f>INDEX('DEPUIS JANVIER'!B40:E80,MATCH('DONNEES CUMULS DEPUIS JANVIER'!H10,'DEPUIS JANVIER'!C40:C80,0),MATCH(B20,'DEPUIS JANVIER'!B39:E39,0))</f>
        <v>4.4906234161176117E-2</v>
      </c>
      <c r="C26" s="198">
        <f>INDEX('DEPUIS JANVIER'!B40:E80,MATCH('DONNEES CUMULS DEPUIS JANVIER'!H10,'DEPUIS JANVIER'!C40:C80,0),MATCH(C20,'DEPUIS JANVIER'!B39:E39,0))</f>
        <v>4.2897612302711607E-2</v>
      </c>
      <c r="D26" s="79">
        <f>INDEX(compo_index,MATCH('RESULTATS DEPUIS JANVIER'!B4,'COMPOSITION INDEX'!A1:A26,0),MATCH('DONNEES CUMULS DEPUIS JANVIER'!H10,'COMPOSITION INDEX'!A2:AR2,0))</f>
        <v>0.01</v>
      </c>
      <c r="E26" s="12"/>
      <c r="F26" s="12"/>
      <c r="G26" s="12"/>
      <c r="H26" s="12"/>
      <c r="I26" s="12"/>
      <c r="J26" s="12"/>
      <c r="K26" s="12"/>
      <c r="L26" s="12"/>
      <c r="M26" s="12"/>
      <c r="N26" s="12"/>
    </row>
    <row r="27" spans="1:15" x14ac:dyDescent="0.25">
      <c r="A27" s="82" t="s">
        <v>184</v>
      </c>
      <c r="B27" s="83"/>
      <c r="C27" s="84"/>
      <c r="D27" s="85">
        <f>SUM(D21:D26)</f>
        <v>0.72000000000000008</v>
      </c>
      <c r="E27" s="12"/>
      <c r="F27" s="12"/>
      <c r="G27" s="12"/>
      <c r="H27" s="12"/>
      <c r="I27" s="12"/>
      <c r="J27" s="12"/>
      <c r="K27" s="12"/>
      <c r="L27" s="12"/>
      <c r="M27" s="12"/>
      <c r="N27" s="12"/>
    </row>
    <row r="28" spans="1:15" x14ac:dyDescent="0.25">
      <c r="A28" s="12"/>
      <c r="B28" s="12"/>
      <c r="C28" s="12"/>
      <c r="D28" s="12"/>
      <c r="E28" s="12"/>
      <c r="F28" s="12"/>
      <c r="G28" s="12"/>
      <c r="H28" s="12"/>
      <c r="I28" s="12"/>
      <c r="J28" s="12"/>
      <c r="K28" s="12"/>
      <c r="L28" s="12"/>
      <c r="M28" s="12"/>
      <c r="N28" s="12"/>
    </row>
    <row r="29" spans="1:15" x14ac:dyDescent="0.25">
      <c r="A29" s="86" t="str">
        <f>IF(B4="TP14","Frais divers hors Restaurants et hôtels",IF(OR(B4="TP03a",B4="TP03b",B4="TP12d"),"Travail hors travail activités spécialisées",""))</f>
        <v/>
      </c>
      <c r="B29" s="12"/>
      <c r="C29" s="12"/>
      <c r="D29" s="12"/>
      <c r="E29" s="12"/>
      <c r="F29" s="12"/>
      <c r="G29" s="12"/>
      <c r="H29" s="12"/>
      <c r="I29" s="12"/>
      <c r="J29" s="12"/>
      <c r="K29" s="86"/>
      <c r="L29" s="86"/>
      <c r="M29" s="12"/>
      <c r="N29" s="12"/>
    </row>
    <row r="30" spans="1:15" x14ac:dyDescent="0.25">
      <c r="A30" s="276" t="str">
        <f>"Evolution des indices spécifiques au "&amp;B4</f>
        <v>Evolution des indices spécifiques au TP02</v>
      </c>
      <c r="B30" s="276"/>
      <c r="C30" s="276"/>
      <c r="D30" s="276"/>
      <c r="E30" s="276"/>
      <c r="F30" s="276"/>
      <c r="G30" s="276"/>
      <c r="H30" s="276"/>
      <c r="I30" s="276"/>
      <c r="J30" s="276"/>
      <c r="K30" s="276"/>
      <c r="L30" s="276"/>
      <c r="M30" s="276"/>
      <c r="N30" s="276"/>
      <c r="O30" s="276"/>
    </row>
    <row r="31" spans="1:15" ht="24" x14ac:dyDescent="0.25">
      <c r="A31" s="273" t="s">
        <v>198</v>
      </c>
      <c r="B31" s="273"/>
      <c r="C31" s="273"/>
      <c r="D31" s="273"/>
      <c r="E31" s="273"/>
      <c r="F31" s="273"/>
      <c r="G31" s="87" t="str">
        <f>'A MODIFIER'!A9</f>
        <v>*/2020</v>
      </c>
      <c r="H31" s="87" t="str">
        <f>'A MODIFIER'!A10</f>
        <v>*/2021</v>
      </c>
      <c r="I31" s="87" t="str">
        <f>IF(A32="","","Part dans le "&amp;B4)</f>
        <v>Part dans le TP02</v>
      </c>
      <c r="J31" s="12"/>
      <c r="K31" s="12"/>
      <c r="L31" s="12"/>
      <c r="M31" s="12"/>
      <c r="N31" s="88"/>
    </row>
    <row r="32" spans="1:15" x14ac:dyDescent="0.25">
      <c r="A32" s="89" t="str">
        <f>IF('DONNEES CUMULS DEPUIS JANVIER'!N15&lt;&gt;0,'DONNEES CUMULS DEPUIS JANVIER'!M15,"")</f>
        <v>Travail</v>
      </c>
      <c r="B32" s="12"/>
      <c r="C32" s="12"/>
      <c r="D32" s="12"/>
      <c r="E32" s="12"/>
      <c r="F32" s="12"/>
      <c r="G32" s="78">
        <f>IF('DONNEES CUMULS DEPUIS JANVIER'!N15&lt;&gt;0,VLOOKUP('RESULTATS DEPUIS JANVIER'!A32,'DONNEES CUMULS DEPUIS JANVIER'!Q15:S55,3,FALSE),"")</f>
        <v>-2.785265049415897E-3</v>
      </c>
      <c r="H32" s="78">
        <f>IF('DONNEES CUMULS DEPUIS JANVIER'!N15&lt;&gt;0,VLOOKUP('RESULTATS DEPUIS JANVIER'!A32,'DONNEES CUMULS DEPUIS JANVIER'!Q15:S55,2,FALSE),"")</f>
        <v>3.5262206148283237E-3</v>
      </c>
      <c r="I32" s="196">
        <f>IF('DONNEES CUMULS DEPUIS JANVIER'!N15&lt;&gt;0,'DONNEES CUMULS DEPUIS JANVIER'!N15,"")</f>
        <v>0.55000000000000004</v>
      </c>
      <c r="J32" s="12"/>
      <c r="K32" s="12"/>
      <c r="L32" s="12"/>
      <c r="M32" s="12"/>
      <c r="N32" s="12"/>
    </row>
    <row r="33" spans="1:14" x14ac:dyDescent="0.25">
      <c r="A33" s="89" t="str">
        <f>IF('DONNEES CUMULS DEPUIS JANVIER'!N16&lt;&gt;0,'DONNEES CUMULS DEPUIS JANVIER'!M16,"")</f>
        <v>Matériel</v>
      </c>
      <c r="B33" s="12"/>
      <c r="C33" s="12"/>
      <c r="D33" s="12"/>
      <c r="E33" s="12"/>
      <c r="F33" s="12"/>
      <c r="G33" s="78">
        <f>IF('DONNEES CUMULS DEPUIS JANVIER'!N16&lt;&gt;0,VLOOKUP('RESULTATS DEPUIS JANVIER'!A33,'DONNEES CUMULS DEPUIS JANVIER'!Q15:S55,3,FALSE),"")</f>
        <v>9.0231170768083624E-2</v>
      </c>
      <c r="H33" s="78">
        <f>IF('DONNEES CUMULS DEPUIS JANVIER'!N16&lt;&gt;0,VLOOKUP('RESULTATS DEPUIS JANVIER'!A33,'DONNEES CUMULS DEPUIS JANVIER'!Q15:S55,2,FALSE),"")</f>
        <v>6.106791083462948E-2</v>
      </c>
      <c r="I33" s="196">
        <f>IF('DONNEES CUMULS DEPUIS JANVIER'!N16&lt;&gt;0,'DONNEES CUMULS DEPUIS JANVIER'!N16,"")</f>
        <v>0.15</v>
      </c>
      <c r="J33" s="12"/>
      <c r="K33" s="12"/>
      <c r="L33" s="12"/>
      <c r="M33" s="12"/>
      <c r="N33" s="12"/>
    </row>
    <row r="34" spans="1:14" x14ac:dyDescent="0.25">
      <c r="A34" s="89" t="str">
        <f>IF('DONNEES CUMULS DEPUIS JANVIER'!N17&lt;&gt;0,'DONNEES CUMULS DEPUIS JANVIER'!M17,"")</f>
        <v>Béton prêt à l'emploi</v>
      </c>
      <c r="B34" s="12"/>
      <c r="C34" s="12"/>
      <c r="D34" s="12"/>
      <c r="E34" s="12"/>
      <c r="F34" s="12"/>
      <c r="G34" s="78">
        <f>IF('DONNEES CUMULS DEPUIS JANVIER'!N17&lt;&gt;0,VLOOKUP('RESULTATS DEPUIS JANVIER'!A34,'DONNEES CUMULS DEPUIS JANVIER'!Q15:S55,3,FALSE),"")</f>
        <v>7.0776740237691094E-2</v>
      </c>
      <c r="H34" s="78">
        <f>IF('DONNEES CUMULS DEPUIS JANVIER'!N17&lt;&gt;0,VLOOKUP('RESULTATS DEPUIS JANVIER'!A34,'DONNEES CUMULS DEPUIS JANVIER'!Q15:S55,2,FALSE),"")</f>
        <v>5.5102467586783721E-2</v>
      </c>
      <c r="I34" s="196">
        <f>IF('DONNEES CUMULS DEPUIS JANVIER'!N17&lt;&gt;0,'DONNEES CUMULS DEPUIS JANVIER'!N17,"")</f>
        <v>0.12</v>
      </c>
      <c r="J34" s="87"/>
      <c r="K34" s="12"/>
      <c r="L34" s="12"/>
      <c r="M34" s="12"/>
      <c r="N34" s="12"/>
    </row>
    <row r="35" spans="1:14" x14ac:dyDescent="0.25">
      <c r="A35" s="89" t="str">
        <f>IF('DONNEES CUMULS DEPUIS JANVIER'!N18&lt;&gt;0,'DONNEES CUMULS DEPUIS JANVIER'!M18,"")</f>
        <v>Barres crénelées ou nervurées pour béton armé</v>
      </c>
      <c r="B35" s="12"/>
      <c r="C35" s="12"/>
      <c r="D35" s="12"/>
      <c r="E35" s="12"/>
      <c r="F35" s="12"/>
      <c r="G35" s="78">
        <f>IF('DONNEES CUMULS DEPUIS JANVIER'!N18&lt;&gt;0,VLOOKUP('RESULTATS DEPUIS JANVIER'!A35,'DONNEES CUMULS DEPUIS JANVIER'!Q15:S55,3,FALSE),"")</f>
        <v>1.1071930882057464</v>
      </c>
      <c r="H35" s="78">
        <f>IF('DONNEES CUMULS DEPUIS JANVIER'!N18&lt;&gt;0,VLOOKUP('RESULTATS DEPUIS JANVIER'!A35,'DONNEES CUMULS DEPUIS JANVIER'!Q15:S55,2,FALSE),"")</f>
        <v>0.43733296786130316</v>
      </c>
      <c r="I35" s="196">
        <f>IF('DONNEES CUMULS DEPUIS JANVIER'!N18&lt;&gt;0,'DONNEES CUMULS DEPUIS JANVIER'!N18,"")</f>
        <v>0.09</v>
      </c>
      <c r="J35" s="90"/>
      <c r="K35" s="87"/>
      <c r="L35" s="12"/>
      <c r="M35" s="12"/>
      <c r="N35" s="12"/>
    </row>
    <row r="36" spans="1:14" x14ac:dyDescent="0.25">
      <c r="A36" s="89" t="str">
        <f>IF('DONNEES CUMULS DEPUIS JANVIER'!N19&lt;&gt;0,'DONNEES CUMULS DEPUIS JANVIER'!M19,"")</f>
        <v>Tubes, tuyaux en matière plastique</v>
      </c>
      <c r="B36" s="12"/>
      <c r="C36" s="12"/>
      <c r="D36" s="12"/>
      <c r="E36" s="12"/>
      <c r="F36" s="12"/>
      <c r="G36" s="78">
        <f>IF('DONNEES CUMULS DEPUIS JANVIER'!N19&lt;&gt;0,VLOOKUP('RESULTATS DEPUIS JANVIER'!A36,'DONNEES CUMULS DEPUIS JANVIER'!Q15:S55,3,FALSE),"")</f>
        <v>0.32536948549838884</v>
      </c>
      <c r="H36" s="78">
        <f>IF('DONNEES CUMULS DEPUIS JANVIER'!N19&lt;&gt;0,VLOOKUP('RESULTATS DEPUIS JANVIER'!A36,'DONNEES CUMULS DEPUIS JANVIER'!Q15:S55,2,FALSE),"")</f>
        <v>0.19917554795897852</v>
      </c>
      <c r="I36" s="196">
        <f>IF('DONNEES CUMULS DEPUIS JANVIER'!N19&lt;&gt;0,'DONNEES CUMULS DEPUIS JANVIER'!N19,"")</f>
        <v>0.04</v>
      </c>
      <c r="J36" s="90"/>
      <c r="K36" s="90"/>
      <c r="L36" s="12"/>
      <c r="M36" s="12"/>
      <c r="N36" s="12"/>
    </row>
    <row r="37" spans="1:14" x14ac:dyDescent="0.25">
      <c r="A37" s="89" t="str">
        <f>IF('DONNEES CUMULS DEPUIS JANVIER'!N20&lt;&gt;0,'DONNEES CUMULS DEPUIS JANVIER'!M20,"")</f>
        <v>Ensemble des produits du sciage</v>
      </c>
      <c r="B37" s="12"/>
      <c r="C37" s="12"/>
      <c r="D37" s="12"/>
      <c r="E37" s="12"/>
      <c r="F37" s="12"/>
      <c r="G37" s="78">
        <f>IF('DONNEES CUMULS DEPUIS JANVIER'!N20&lt;&gt;0,VLOOKUP('RESULTATS DEPUIS JANVIER'!A37,'DONNEES CUMULS DEPUIS JANVIER'!Q15:S55,3,FALSE),"")</f>
        <v>0.47830610758505898</v>
      </c>
      <c r="H37" s="78">
        <f>IF('DONNEES CUMULS DEPUIS JANVIER'!N20&lt;&gt;0,VLOOKUP('RESULTATS DEPUIS JANVIER'!A37,'DONNEES CUMULS DEPUIS JANVIER'!Q15:S55,2,FALSE),"")</f>
        <v>0.26293333333333324</v>
      </c>
      <c r="I37" s="196">
        <f>IF('DONNEES CUMULS DEPUIS JANVIER'!N20&lt;&gt;0,'DONNEES CUMULS DEPUIS JANVIER'!N20,"")</f>
        <v>0.02</v>
      </c>
      <c r="J37" s="90"/>
      <c r="K37" s="90"/>
      <c r="L37" s="12"/>
      <c r="M37" s="12"/>
      <c r="N37" s="12"/>
    </row>
    <row r="38" spans="1:14" x14ac:dyDescent="0.25">
      <c r="A38" s="89" t="str">
        <f>IF('DONNEES CUMULS DEPUIS JANVIER'!N21&lt;&gt;0,'DONNEES CUMULS DEPUIS JANVIER'!M21,"")</f>
        <v>Frais divers</v>
      </c>
      <c r="B38" s="12"/>
      <c r="C38" s="12"/>
      <c r="D38" s="12"/>
      <c r="E38" s="12"/>
      <c r="F38" s="12"/>
      <c r="G38" s="78">
        <f>IF('DONNEES CUMULS DEPUIS JANVIER'!N21&lt;&gt;0,VLOOKUP('RESULTATS DEPUIS JANVIER'!A38,'DONNEES CUMULS DEPUIS JANVIER'!Q15:S55,3,FALSE),"")</f>
        <v>6.7882037533511852E-2</v>
      </c>
      <c r="H38" s="78">
        <f>IF('DONNEES CUMULS DEPUIS JANVIER'!N21&lt;&gt;0,VLOOKUP('RESULTATS DEPUIS JANVIER'!A38,'DONNEES CUMULS DEPUIS JANVIER'!Q15:S55,2,FALSE),"")</f>
        <v>5.7224758466928316E-2</v>
      </c>
      <c r="I38" s="196">
        <f>IF('DONNEES CUMULS DEPUIS JANVIER'!N21&lt;&gt;0,'DONNEES CUMULS DEPUIS JANVIER'!N21,"")</f>
        <v>0.01</v>
      </c>
      <c r="J38" s="90"/>
      <c r="K38" s="90"/>
      <c r="L38" s="12"/>
      <c r="M38" s="12"/>
      <c r="N38" s="12"/>
    </row>
    <row r="39" spans="1:14" x14ac:dyDescent="0.25">
      <c r="A39" s="89" t="str">
        <f>IF('DONNEES CUMULS DEPUIS JANVIER'!N22&lt;&gt;0,'DONNEES CUMULS DEPUIS JANVIER'!M22,"")</f>
        <v>Transports routiers</v>
      </c>
      <c r="B39" s="12"/>
      <c r="C39" s="12"/>
      <c r="D39" s="12"/>
      <c r="E39" s="12"/>
      <c r="F39" s="12"/>
      <c r="G39" s="78">
        <f>IF('DONNEES CUMULS DEPUIS JANVIER'!N22&lt;&gt;0,VLOOKUP('RESULTATS DEPUIS JANVIER'!A39,'DONNEES CUMULS DEPUIS JANVIER'!Q15:S55,3,FALSE),"")</f>
        <v>4.4906234161176117E-2</v>
      </c>
      <c r="H39" s="78">
        <f>IF('DONNEES CUMULS DEPUIS JANVIER'!N22&lt;&gt;0,VLOOKUP('RESULTATS DEPUIS JANVIER'!A39,'DONNEES CUMULS DEPUIS JANVIER'!Q15:S55,2,FALSE),"")</f>
        <v>4.2897612302711607E-2</v>
      </c>
      <c r="I39" s="196">
        <f>IF('DONNEES CUMULS DEPUIS JANVIER'!N22&lt;&gt;0,'DONNEES CUMULS DEPUIS JANVIER'!N22,"")</f>
        <v>0.01</v>
      </c>
      <c r="J39" s="90"/>
      <c r="K39" s="90"/>
      <c r="L39" s="12"/>
      <c r="M39" s="12"/>
      <c r="N39" s="12"/>
    </row>
    <row r="40" spans="1:14" x14ac:dyDescent="0.25">
      <c r="A40" s="89" t="str">
        <f>IF('DONNEES CUMULS DEPUIS JANVIER'!N23&lt;&gt;0,'DONNEES CUMULS DEPUIS JANVIER'!M23,"")</f>
        <v>Électricité vendue aux entreprises consommatrices finales</v>
      </c>
      <c r="B40" s="12"/>
      <c r="C40" s="12"/>
      <c r="D40" s="12"/>
      <c r="E40" s="12"/>
      <c r="F40" s="12"/>
      <c r="G40" s="78">
        <f>IF('DONNEES CUMULS DEPUIS JANVIER'!N23&lt;&gt;0,VLOOKUP('RESULTATS DEPUIS JANVIER'!A40,'DONNEES CUMULS DEPUIS JANVIER'!Q15:S55,3,FALSE),"")</f>
        <v>0.19635436343029844</v>
      </c>
      <c r="H40" s="78">
        <f>IF('DONNEES CUMULS DEPUIS JANVIER'!N23&lt;&gt;0,VLOOKUP('RESULTATS DEPUIS JANVIER'!A40,'DONNEES CUMULS DEPUIS JANVIER'!Q15:S55,2,FALSE),"")</f>
        <v>0.14841341795104257</v>
      </c>
      <c r="I40" s="196">
        <f>IF('DONNEES CUMULS DEPUIS JANVIER'!N23&lt;&gt;0,'DONNEES CUMULS DEPUIS JANVIER'!N23,"")</f>
        <v>0.01</v>
      </c>
      <c r="J40" s="91" t="str">
        <f>IF(OR(A32="Travail activités spécialisées",A32="Fils et câbles d'énergie",A32="Tuyaux d'assainissement"),"juillet 2021 = juin 2021","")</f>
        <v/>
      </c>
      <c r="K40" s="90"/>
      <c r="L40" s="12"/>
      <c r="M40" s="92"/>
      <c r="N40" s="12"/>
    </row>
    <row r="41" spans="1:14" x14ac:dyDescent="0.25">
      <c r="A41" s="89" t="str">
        <f>IF('DONNEES CUMULS DEPUIS JANVIER'!N24&lt;&gt;0,'DONNEES CUMULS DEPUIS JANVIER'!M24,"")</f>
        <v/>
      </c>
      <c r="G41" s="78" t="str">
        <f>IF('DONNEES CUMULS DEPUIS JANVIER'!N24&lt;&gt;0,VLOOKUP('RESULTATS DEPUIS JANVIER'!A41,'DONNEES CUMULS DEPUIS JANVIER'!Q15:S55,3,FALSE),"")</f>
        <v/>
      </c>
      <c r="H41" s="78" t="str">
        <f>IF('DONNEES CUMULS DEPUIS JANVIER'!N24&lt;&gt;0,VLOOKUP('RESULTATS DEPUIS JANVIER'!A41,'DONNEES CUMULS DEPUIS JANVIER'!Q15:S55,2,FALSE),"")</f>
        <v/>
      </c>
      <c r="I41" s="196" t="str">
        <f>IF('DONNEES CUMULS DEPUIS JANVIER'!N24&lt;&gt;0,'DONNEES CUMULS DEPUIS JANVIER'!N24,"")</f>
        <v/>
      </c>
    </row>
    <row r="42" spans="1:14" x14ac:dyDescent="0.25">
      <c r="A42" s="108" t="str">
        <f>IF('DONNEES CUMULS DEPUIS JANVIER'!N25&lt;&gt;0,'DONNEES CUMULS DEPUIS JANVIER'!M25,"")</f>
        <v/>
      </c>
      <c r="G42" s="78" t="str">
        <f>IF('DONNEES CUMULS DEPUIS JANVIER'!N25&lt;&gt;0,VLOOKUP('RESULTATS DEPUIS JANVIER'!A42,'DONNEES CUMULS DEPUIS JANVIER'!Q15:S55,3,FALSE),"")</f>
        <v/>
      </c>
      <c r="H42" s="78" t="str">
        <f>IF('DONNEES CUMULS DEPUIS JANVIER'!N25&lt;&gt;0,VLOOKUP('RESULTATS DEPUIS JANVIER'!A42,'DONNEES CUMULS DEPUIS JANVIER'!Q15:S55,2,FALSE),"")</f>
        <v/>
      </c>
      <c r="I42" s="196" t="str">
        <f>IF('DONNEES CUMULS DEPUIS JANVIER'!N25&lt;&gt;0,'DONNEES CUMULS DEPUIS JANVIER'!N25,"")</f>
        <v/>
      </c>
    </row>
    <row r="43" spans="1:14" x14ac:dyDescent="0.25">
      <c r="A43" s="108" t="str">
        <f>IF('DONNEES CUMULS DEPUIS JANVIER'!N26&lt;&gt;0,'DONNEES CUMULS DEPUIS JANVIER'!M26,"")</f>
        <v/>
      </c>
      <c r="G43" s="78" t="str">
        <f>IF('DONNEES CUMULS DEPUIS JANVIER'!N26&lt;&gt;0,VLOOKUP('RESULTATS DEPUIS JANVIER'!A43,'DONNEES CUMULS DEPUIS JANVIER'!Q15:S55,3,FALSE),"")</f>
        <v/>
      </c>
      <c r="H43" s="78" t="str">
        <f>IF('DONNEES CUMULS DEPUIS JANVIER'!N26&lt;&gt;0,VLOOKUP('RESULTATS DEPUIS JANVIER'!A43,'DONNEES CUMULS DEPUIS JANVIER'!Q15:S55,2,FALSE),"")</f>
        <v/>
      </c>
      <c r="I43" s="196" t="str">
        <f>IF('DONNEES CUMULS DEPUIS JANVIER'!N26&lt;&gt;0,'DONNEES CUMULS DEPUIS JANVIER'!N26,"")</f>
        <v/>
      </c>
    </row>
    <row r="44" spans="1:14" x14ac:dyDescent="0.25">
      <c r="I44" s="231"/>
    </row>
    <row r="45" spans="1:14" x14ac:dyDescent="0.25">
      <c r="I45" s="199"/>
    </row>
    <row r="46" spans="1:14" x14ac:dyDescent="0.25">
      <c r="I46" s="199"/>
    </row>
    <row r="47" spans="1:14" x14ac:dyDescent="0.25">
      <c r="I47" s="199"/>
    </row>
    <row r="48" spans="1:14" x14ac:dyDescent="0.25">
      <c r="I48" s="199"/>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4"/>
  <sheetViews>
    <sheetView showGridLines="0" workbookViewId="0">
      <selection activeCell="B4" sqref="B4"/>
    </sheetView>
  </sheetViews>
  <sheetFormatPr baseColWidth="10" defaultRowHeight="15" x14ac:dyDescent="0.25"/>
  <sheetData>
    <row r="1" spans="1:15" x14ac:dyDescent="0.25">
      <c r="A1" s="271" t="str">
        <f>"EVOLUTION DES INDEX ET INDICES TP A FIN "&amp;'A MODIFIER'!B4&amp;"  EN GLISSEMENT 3 MOIS ET 6 MOIS"</f>
        <v>EVOLUTION DES INDEX ET INDICES TP A FIN SEPTEMBRE 2022  EN GLISSEMENT 3 MOIS ET 6 MOIS</v>
      </c>
      <c r="B1" s="271"/>
      <c r="C1" s="271"/>
      <c r="D1" s="271"/>
      <c r="E1" s="271"/>
      <c r="F1" s="271"/>
      <c r="G1" s="271"/>
      <c r="H1" s="271"/>
      <c r="I1" s="271"/>
      <c r="J1" s="271"/>
      <c r="K1" s="271"/>
      <c r="L1" s="271"/>
      <c r="M1" s="271"/>
      <c r="N1" s="271"/>
      <c r="O1" s="271"/>
    </row>
    <row r="2" spans="1:15" x14ac:dyDescent="0.25">
      <c r="A2" s="13" t="str">
        <f>'A MODIFIER'!A7</f>
        <v>*3 mois = Cumul juil 2022-sept 2022 / Cumul avr 2022-juin 2022</v>
      </c>
      <c r="C2" s="13"/>
      <c r="D2" s="13"/>
      <c r="E2" s="13"/>
      <c r="F2" s="13"/>
      <c r="G2" s="13"/>
      <c r="H2" s="13"/>
      <c r="K2" s="13" t="str">
        <f>'A MODIFIER'!A8</f>
        <v>*6 mois = Cumul avr 2022-sept 2022 / Cumul oct 2021-mars 2022</v>
      </c>
      <c r="N2" s="12"/>
    </row>
    <row r="3" spans="1:15" x14ac:dyDescent="0.25">
      <c r="A3" s="59"/>
      <c r="B3" s="12"/>
      <c r="C3" s="12"/>
      <c r="D3" s="12"/>
      <c r="E3" s="12"/>
      <c r="G3" s="12"/>
      <c r="H3" s="12"/>
      <c r="I3" s="12"/>
      <c r="J3" s="12"/>
      <c r="L3" s="12"/>
      <c r="M3" s="12"/>
      <c r="N3" s="12"/>
    </row>
    <row r="4" spans="1:15" x14ac:dyDescent="0.25">
      <c r="A4" s="61" t="s">
        <v>181</v>
      </c>
      <c r="B4" s="62" t="s">
        <v>25</v>
      </c>
      <c r="C4" s="12"/>
      <c r="D4" s="12"/>
      <c r="E4" s="63"/>
      <c r="F4" s="277" t="str">
        <f>B4&amp;" - "&amp;VLOOKUP(B4,'NOMS INDEX'!A1:B23,2,FALSE)</f>
        <v>TP02 - Travaux de génie civil et d’ouvrages d’art neufs ou rénovation</v>
      </c>
      <c r="G4" s="277"/>
      <c r="H4" s="277"/>
      <c r="I4" s="277"/>
      <c r="J4" s="277"/>
      <c r="K4" s="277"/>
      <c r="L4" s="277"/>
      <c r="M4" s="12"/>
      <c r="N4" s="12"/>
    </row>
    <row r="5" spans="1:15" x14ac:dyDescent="0.25">
      <c r="A5" s="63"/>
      <c r="B5" s="63"/>
      <c r="C5" s="63"/>
      <c r="D5" s="63"/>
      <c r="E5" s="63"/>
      <c r="F5" s="12"/>
      <c r="G5" s="64"/>
      <c r="H5" s="64"/>
      <c r="I5" s="12"/>
      <c r="J5" s="12"/>
      <c r="K5" s="12"/>
      <c r="L5" s="12"/>
      <c r="M5" s="12"/>
      <c r="N5" s="12"/>
    </row>
    <row r="6" spans="1:15" x14ac:dyDescent="0.25">
      <c r="A6" s="47" t="str">
        <f>"Evolution du TP01 et du "&amp;$B$4</f>
        <v>Evolution du TP01 et du TP02</v>
      </c>
      <c r="B6" s="47"/>
      <c r="C6" s="47"/>
      <c r="D6" s="47"/>
      <c r="E6" s="47"/>
      <c r="F6" s="47"/>
      <c r="G6" s="65"/>
      <c r="H6" s="65"/>
      <c r="I6" s="65"/>
      <c r="J6" s="12"/>
      <c r="K6" s="276" t="str">
        <f>"Composition globale du "&amp;B4</f>
        <v>Composition globale du TP02</v>
      </c>
      <c r="L6" s="276"/>
      <c r="M6" s="276"/>
      <c r="N6" s="276"/>
      <c r="O6" s="276"/>
    </row>
    <row r="7" spans="1:15" x14ac:dyDescent="0.25">
      <c r="A7" s="12"/>
      <c r="B7" s="12"/>
      <c r="C7" s="12"/>
      <c r="D7" s="12"/>
      <c r="E7" s="12"/>
      <c r="F7" s="12"/>
      <c r="G7" s="64"/>
      <c r="H7" s="64"/>
      <c r="I7" s="64"/>
      <c r="J7" s="12"/>
      <c r="K7" s="12"/>
      <c r="L7" s="12"/>
      <c r="M7" s="12"/>
      <c r="N7" s="12"/>
    </row>
    <row r="8" spans="1:15" x14ac:dyDescent="0.25">
      <c r="A8" s="66"/>
      <c r="B8" s="66"/>
      <c r="C8" s="66"/>
      <c r="D8" s="12"/>
      <c r="E8" s="12"/>
      <c r="F8" s="12"/>
      <c r="G8" s="66"/>
      <c r="H8" s="107" t="str">
        <f>'A MODIFIER'!A11</f>
        <v>*3 mois</v>
      </c>
      <c r="I8" s="107" t="str">
        <f>'A MODIFIER'!A12</f>
        <v>*6 mois</v>
      </c>
      <c r="J8" s="12"/>
      <c r="K8" s="12"/>
      <c r="L8" s="12"/>
      <c r="M8" s="12"/>
      <c r="N8" s="12"/>
    </row>
    <row r="9" spans="1:15" x14ac:dyDescent="0.25">
      <c r="A9" s="68"/>
      <c r="B9" s="69"/>
      <c r="C9" s="69"/>
      <c r="D9" s="12"/>
      <c r="E9" s="12"/>
      <c r="F9" s="12"/>
      <c r="G9" s="70" t="s">
        <v>24</v>
      </c>
      <c r="H9" s="215">
        <f>VLOOKUP(G9,'EVOL INDEX 3-6 MOIS GLISSANTS'!A8:D30,3,FALSE)</f>
        <v>8.8772845953002388E-3</v>
      </c>
      <c r="I9" s="215">
        <f>VLOOKUP(G9,'EVOL INDEX 3-6 MOIS GLISSANTS'!A8:D30,4,FALSE)</f>
        <v>6.8017767906718429E-2</v>
      </c>
      <c r="J9" s="107"/>
      <c r="K9" s="12"/>
      <c r="L9" s="12"/>
      <c r="M9" s="12"/>
      <c r="N9" s="12"/>
    </row>
    <row r="10" spans="1:15" x14ac:dyDescent="0.25">
      <c r="A10" s="12"/>
      <c r="B10" s="12"/>
      <c r="C10" s="12"/>
      <c r="D10" s="12"/>
      <c r="E10" s="12"/>
      <c r="F10" s="12"/>
      <c r="G10" s="72" t="str">
        <f>B4</f>
        <v>TP02</v>
      </c>
      <c r="H10" s="216">
        <f>VLOOKUP(G10,'EVOL INDEX 3-6 MOIS GLISSANTS'!A8:D30,3,FALSE)</f>
        <v>-3.2786885245903452E-3</v>
      </c>
      <c r="I10" s="216">
        <f>VLOOKUP(G10,'EVOL INDEX 3-6 MOIS GLISSANTS'!A8:D30,4,FALSE)</f>
        <v>5.531858171154358E-2</v>
      </c>
      <c r="J10" s="71"/>
      <c r="K10" s="12"/>
      <c r="L10" s="12"/>
      <c r="M10" s="12"/>
      <c r="N10" s="12"/>
    </row>
    <row r="11" spans="1:15" x14ac:dyDescent="0.25">
      <c r="A11" s="12"/>
      <c r="B11" s="12"/>
      <c r="C11" s="12"/>
      <c r="D11" s="12"/>
      <c r="E11" s="12"/>
      <c r="F11" s="12"/>
      <c r="G11" s="12"/>
      <c r="H11" s="12"/>
      <c r="I11" s="12"/>
      <c r="J11" s="73"/>
      <c r="K11" s="12"/>
      <c r="L11" s="12"/>
      <c r="M11" s="12"/>
      <c r="N11" s="12"/>
    </row>
    <row r="12" spans="1:15" x14ac:dyDescent="0.25">
      <c r="A12" s="12"/>
      <c r="B12" s="12"/>
      <c r="C12" s="12"/>
      <c r="D12" s="12"/>
      <c r="E12" s="12"/>
      <c r="F12" s="12"/>
      <c r="G12" s="271" t="str">
        <f>"Part du "&amp;B4&amp;" dans le TP01"</f>
        <v>Part du TP02 dans le TP01</v>
      </c>
      <c r="H12" s="271"/>
      <c r="I12" s="271"/>
      <c r="J12" s="12"/>
      <c r="K12" s="12"/>
      <c r="L12" s="12"/>
      <c r="M12" s="12"/>
      <c r="N12" s="12"/>
    </row>
    <row r="13" spans="1:15" x14ac:dyDescent="0.25">
      <c r="A13" s="12"/>
      <c r="B13" s="12"/>
      <c r="C13" s="12"/>
      <c r="D13" s="12"/>
      <c r="E13" s="12"/>
      <c r="F13" s="12"/>
      <c r="G13" s="12"/>
      <c r="H13" s="12"/>
      <c r="I13" s="12"/>
      <c r="J13" s="12"/>
      <c r="K13" s="12"/>
      <c r="L13" s="12"/>
      <c r="M13" s="12"/>
      <c r="N13" s="12"/>
    </row>
    <row r="14" spans="1:15" x14ac:dyDescent="0.25">
      <c r="A14" s="12"/>
      <c r="B14" s="12"/>
      <c r="C14" s="12"/>
      <c r="D14" s="12"/>
      <c r="E14" s="12"/>
      <c r="F14" s="12"/>
      <c r="G14" s="12"/>
      <c r="H14" s="12"/>
      <c r="I14" s="12"/>
      <c r="J14" s="12"/>
      <c r="K14" s="12"/>
      <c r="L14" s="12"/>
      <c r="M14" s="12"/>
      <c r="N14" s="12"/>
    </row>
    <row r="15" spans="1:15" x14ac:dyDescent="0.25">
      <c r="A15" s="74"/>
      <c r="B15" s="12"/>
      <c r="C15" s="12"/>
      <c r="D15" s="12"/>
      <c r="E15" s="12"/>
      <c r="F15" s="12"/>
      <c r="G15" s="107"/>
      <c r="H15" s="12"/>
      <c r="I15" s="12"/>
      <c r="J15" s="233"/>
      <c r="K15" s="12"/>
      <c r="L15" s="12"/>
      <c r="M15" s="12"/>
      <c r="N15" s="12"/>
    </row>
    <row r="16" spans="1:15" x14ac:dyDescent="0.25">
      <c r="A16" s="12"/>
      <c r="B16" s="12"/>
      <c r="C16" s="12"/>
      <c r="D16" s="12"/>
      <c r="E16" s="12"/>
      <c r="F16" s="12"/>
      <c r="G16" s="71"/>
      <c r="H16" s="12"/>
      <c r="I16" s="12"/>
      <c r="J16" s="12"/>
      <c r="K16" s="12"/>
      <c r="L16" s="12"/>
      <c r="M16" s="12"/>
      <c r="N16" s="12"/>
    </row>
    <row r="17" spans="1:15" x14ac:dyDescent="0.25">
      <c r="A17" s="12"/>
      <c r="B17" s="12"/>
      <c r="C17" s="12"/>
      <c r="D17" s="12"/>
      <c r="E17" s="12"/>
      <c r="F17" s="12"/>
      <c r="G17" s="71"/>
      <c r="H17" s="12"/>
      <c r="I17" s="12"/>
      <c r="J17" s="12"/>
      <c r="K17" s="12"/>
      <c r="L17" s="12"/>
      <c r="M17" s="12"/>
      <c r="N17" s="12"/>
    </row>
    <row r="18" spans="1:15" x14ac:dyDescent="0.25">
      <c r="A18" s="276" t="s">
        <v>182</v>
      </c>
      <c r="B18" s="276"/>
      <c r="C18" s="276"/>
      <c r="D18" s="276"/>
      <c r="E18" s="276"/>
      <c r="F18" s="276"/>
      <c r="G18" s="276"/>
      <c r="H18" s="276"/>
      <c r="I18" s="276"/>
      <c r="J18" s="276"/>
      <c r="K18" s="276"/>
      <c r="L18" s="276"/>
      <c r="M18" s="276"/>
      <c r="N18" s="276"/>
      <c r="O18" s="276"/>
    </row>
    <row r="19" spans="1:15" x14ac:dyDescent="0.25">
      <c r="A19" s="12"/>
      <c r="B19" s="12"/>
      <c r="C19" s="12"/>
      <c r="D19" s="12"/>
      <c r="E19" s="12"/>
      <c r="F19" s="274" t="str">
        <f>'A MODIFIER'!A11</f>
        <v>*3 mois</v>
      </c>
      <c r="G19" s="274"/>
      <c r="H19" s="12"/>
      <c r="I19" s="12"/>
      <c r="J19" s="12"/>
      <c r="K19" s="12"/>
      <c r="L19" s="12"/>
      <c r="M19" s="12"/>
      <c r="N19" s="12"/>
    </row>
    <row r="20" spans="1:15" ht="24" x14ac:dyDescent="0.25">
      <c r="A20" s="75"/>
      <c r="B20" s="76" t="str">
        <f>'A MODIFIER'!A11</f>
        <v>*3 mois</v>
      </c>
      <c r="C20" s="76" t="str">
        <f>'A MODIFIER'!A12</f>
        <v>*6 mois</v>
      </c>
      <c r="D20" s="76" t="str">
        <f>"Part dans le "&amp;B4</f>
        <v>Part dans le TP02</v>
      </c>
      <c r="E20" s="12"/>
      <c r="F20" s="12"/>
      <c r="G20" s="12"/>
      <c r="H20" s="12"/>
      <c r="I20" s="12"/>
      <c r="J20" s="12"/>
      <c r="K20" s="12"/>
      <c r="L20" s="12"/>
      <c r="M20" s="12"/>
      <c r="N20" s="12"/>
    </row>
    <row r="21" spans="1:15" x14ac:dyDescent="0.25">
      <c r="A21" s="77" t="s">
        <v>134</v>
      </c>
      <c r="B21" s="198">
        <f>INDEX('3-6 MOIS GLISSANTS'!B42:E82,MATCH(A21,'3-6 MOIS GLISSANTS'!C42:C82,0),MATCH(B20,'3-6 MOIS GLISSANTS'!B41:E41,0))</f>
        <v>3.0597234480729485E-2</v>
      </c>
      <c r="C21" s="198">
        <f>INDEX('3-6 MOIS GLISSANTS'!C42:E82,MATCH(A21,'3-6 MOIS GLISSANTS'!C42:C82,0),MATCH(C20,'3-6 MOIS GLISSANTS'!C41:E41,0))</f>
        <v>4.4649614045709107E-2</v>
      </c>
      <c r="D21" s="79">
        <f>INDEX(compo_index,MATCH(B4,'COMPOSITION INDEX'!A1:A26,0),MATCH(A21,'COMPOSITION INDEX'!A2:AR2,0))</f>
        <v>0.15</v>
      </c>
      <c r="E21" s="12"/>
      <c r="F21" s="12"/>
      <c r="G21" s="12"/>
      <c r="H21" s="12"/>
      <c r="I21" s="12"/>
      <c r="J21" s="12"/>
      <c r="K21" s="12"/>
      <c r="L21" s="12"/>
      <c r="M21" s="12"/>
      <c r="N21" s="12"/>
    </row>
    <row r="22" spans="1:15" x14ac:dyDescent="0.25">
      <c r="A22" s="77" t="s">
        <v>135</v>
      </c>
      <c r="B22" s="198">
        <f>INDEX('3-6 MOIS GLISSANTS'!B42:E82,MATCH(A22,'3-6 MOIS GLISSANTS'!C42:C82,0),MATCH(B20,'3-6 MOIS GLISSANTS'!B41:E41,0))</f>
        <v>1.8898488120950852E-3</v>
      </c>
      <c r="C22" s="198">
        <f>INDEX('3-6 MOIS GLISSANTS'!C42:E82,MATCH(A22,'3-6 MOIS GLISSANTS'!C42:C82,0),MATCH(C20,'3-6 MOIS GLISSANTS'!C41:E41,0))</f>
        <v>7.6097295828236877E-3</v>
      </c>
      <c r="D22" s="79">
        <f>INDEX(compo_index,MATCH(B4,'COMPOSITION INDEX'!A1:A26,0),MATCH(A22,'COMPOSITION INDEX'!A2:AR2,0))</f>
        <v>0.55000000000000004</v>
      </c>
      <c r="E22" s="12"/>
      <c r="F22" s="12"/>
      <c r="G22" s="12"/>
      <c r="H22" s="12"/>
      <c r="I22" s="12"/>
      <c r="J22" s="12"/>
      <c r="K22" s="12"/>
      <c r="L22" s="12"/>
      <c r="M22" s="12"/>
      <c r="N22" s="12"/>
    </row>
    <row r="23" spans="1:15" x14ac:dyDescent="0.25">
      <c r="A23" s="80" t="s">
        <v>137</v>
      </c>
      <c r="B23" s="198">
        <f>INDEX('3-6 MOIS GLISSANTS'!B42:E82,MATCH(A23,'3-6 MOIS GLISSANTS'!C42:C82,0),MATCH(B20,'3-6 MOIS GLISSANTS'!B41:E41,0))</f>
        <v>-5.712849723571789E-2</v>
      </c>
      <c r="C23" s="198">
        <f>INDEX('3-6 MOIS GLISSANTS'!C42:E82,MATCH(A23,'3-6 MOIS GLISSANTS'!C42:C82,0),MATCH(C20,'3-6 MOIS GLISSANTS'!C41:E41,0))</f>
        <v>0.179321999161556</v>
      </c>
      <c r="D23" s="79">
        <f>INDEX(compo_index,MATCH(B4,'COMPOSITION INDEX'!A1:A26,0),MATCH(A23,'COMPOSITION INDEX'!A2:AR2,0))</f>
        <v>0</v>
      </c>
      <c r="E23" s="12"/>
      <c r="F23" s="12"/>
      <c r="G23" s="12"/>
      <c r="H23" s="12"/>
      <c r="I23" s="12"/>
      <c r="J23" s="12"/>
      <c r="K23" s="12"/>
      <c r="L23" s="12"/>
      <c r="M23" s="12"/>
      <c r="N23" s="12"/>
    </row>
    <row r="24" spans="1:15" x14ac:dyDescent="0.25">
      <c r="A24" s="77" t="s">
        <v>138</v>
      </c>
      <c r="B24" s="198">
        <f>INDEX('3-6 MOIS GLISSANTS'!B42:E82,MATCH(A24,'3-6 MOIS GLISSANTS'!C42:C82,0),MATCH(B20,'3-6 MOIS GLISSANTS'!B41:E41,0))</f>
        <v>-4.0537550043253434E-2</v>
      </c>
      <c r="C24" s="198">
        <f>INDEX('3-6 MOIS GLISSANTS'!C42:E82,MATCH(A24,'3-6 MOIS GLISSANTS'!C42:C82,0),MATCH(C20,'3-6 MOIS GLISSANTS'!C41:E41,0))</f>
        <v>0.14277836442567171</v>
      </c>
      <c r="D24" s="79">
        <f>INDEX(compo_index,MATCH(B4,'COMPOSITION INDEX'!A1:A26,0),MATCH(A24,'COMPOSITION INDEX'!A2:AR2,0))</f>
        <v>0</v>
      </c>
      <c r="E24" s="12"/>
      <c r="F24" s="69"/>
      <c r="G24" s="12"/>
      <c r="H24" s="12"/>
      <c r="I24" s="12"/>
      <c r="J24" s="12"/>
      <c r="K24" s="12"/>
      <c r="L24" s="12"/>
      <c r="M24" s="12"/>
      <c r="N24" s="12"/>
    </row>
    <row r="25" spans="1:15" x14ac:dyDescent="0.25">
      <c r="A25" s="80" t="s">
        <v>139</v>
      </c>
      <c r="B25" s="198">
        <f>INDEX('3-6 MOIS GLISSANTS'!B42:E82,MATCH(A25,'3-6 MOIS GLISSANTS'!C42:C82,0),MATCH(B20,'3-6 MOIS GLISSANTS'!B41:E41,0))</f>
        <v>3.372478169226123E-2</v>
      </c>
      <c r="C25" s="198">
        <f>INDEX('3-6 MOIS GLISSANTS'!C42:E82,MATCH(A25,'3-6 MOIS GLISSANTS'!C42:C82,0),MATCH(C20,'3-6 MOIS GLISSANTS'!C41:E41,0))</f>
        <v>5.679862306368344E-2</v>
      </c>
      <c r="D25" s="79">
        <f>INDEX(compo_index,MATCH(B4,'COMPOSITION INDEX'!A1:A26,0),MATCH(A25,'COMPOSITION INDEX'!A2:AR2,0))</f>
        <v>0.01</v>
      </c>
      <c r="E25" s="12"/>
      <c r="F25" s="81"/>
      <c r="G25" s="12"/>
      <c r="H25" s="12"/>
      <c r="I25" s="12"/>
      <c r="J25" s="12"/>
      <c r="K25" s="12"/>
      <c r="L25" s="12"/>
      <c r="M25" s="12"/>
      <c r="N25" s="12"/>
    </row>
    <row r="26" spans="1:15" x14ac:dyDescent="0.25">
      <c r="A26" s="80" t="s">
        <v>183</v>
      </c>
      <c r="B26" s="198">
        <f>INDEX('3-6 MOIS GLISSANTS'!B42:E82,MATCH('DONNEES 3-6 MOIS'!H10,'3-6 MOIS GLISSANTS'!C42:C82,0),MATCH(B20,'3-6 MOIS GLISSANTS'!B41:E41,0))</f>
        <v>1.7376194613379692E-2</v>
      </c>
      <c r="C26" s="198">
        <f>INDEX('3-6 MOIS GLISSANTS'!C42:E82,MATCH('DONNEES 3-6 MOIS'!H10,'3-6 MOIS GLISSANTS'!C42:C82,0),MATCH(C20,'3-6 MOIS GLISSANTS'!C41:E41,0))</f>
        <v>4.5004500450045226E-2</v>
      </c>
      <c r="D26" s="79">
        <f>INDEX(compo_index,MATCH(B4,'COMPOSITION INDEX'!A1:A26,0),MATCH('DONNEES 3-6 MOIS'!H10,'COMPOSITION INDEX'!A2:AR2,0))</f>
        <v>0.01</v>
      </c>
      <c r="E26" s="12"/>
      <c r="F26" s="12"/>
      <c r="G26" s="12"/>
      <c r="H26" s="12"/>
      <c r="I26" s="12"/>
      <c r="J26" s="12"/>
      <c r="K26" s="12"/>
      <c r="L26" s="12"/>
      <c r="M26" s="12"/>
      <c r="N26" s="12"/>
    </row>
    <row r="27" spans="1:15" x14ac:dyDescent="0.25">
      <c r="A27" s="82" t="s">
        <v>184</v>
      </c>
      <c r="B27" s="83"/>
      <c r="C27" s="84"/>
      <c r="D27" s="85">
        <f>SUM(D21:D26)</f>
        <v>0.72000000000000008</v>
      </c>
      <c r="E27" s="12"/>
      <c r="F27" s="12"/>
      <c r="G27" s="12"/>
      <c r="H27" s="12"/>
      <c r="I27" s="12"/>
      <c r="J27" s="12"/>
      <c r="K27" s="12"/>
      <c r="L27" s="12"/>
      <c r="M27" s="12"/>
      <c r="N27" s="12"/>
    </row>
    <row r="28" spans="1:15" x14ac:dyDescent="0.25">
      <c r="A28" s="12"/>
      <c r="B28" s="12"/>
      <c r="C28" s="12"/>
      <c r="D28" s="12"/>
      <c r="E28" s="12"/>
      <c r="F28" s="12"/>
      <c r="G28" s="12"/>
      <c r="H28" s="12"/>
      <c r="I28" s="12"/>
      <c r="J28" s="12"/>
      <c r="K28" s="12"/>
      <c r="L28" s="12"/>
      <c r="M28" s="12"/>
      <c r="N28" s="12"/>
    </row>
    <row r="29" spans="1:15" x14ac:dyDescent="0.25">
      <c r="A29" s="86" t="str">
        <f>IF(B4="TP14","Frais divers hors Restaurants et hôtels",IF(OR(B4="TP03a",B4="TP03b",B4="TP12d"),"Travail hors travail activités spécialisées",""))</f>
        <v/>
      </c>
      <c r="B29" s="12"/>
      <c r="C29" s="12"/>
      <c r="D29" s="12"/>
      <c r="E29" s="12"/>
      <c r="F29" s="12"/>
      <c r="G29" s="12"/>
      <c r="H29" s="12"/>
      <c r="I29" s="12"/>
      <c r="J29" s="12"/>
      <c r="K29" s="86"/>
      <c r="L29" s="86"/>
      <c r="M29" s="12"/>
      <c r="N29" s="12"/>
    </row>
    <row r="30" spans="1:15" x14ac:dyDescent="0.25">
      <c r="A30" s="276" t="str">
        <f>"Evolution des indices spécifiques au "&amp;B4</f>
        <v>Evolution des indices spécifiques au TP02</v>
      </c>
      <c r="B30" s="276"/>
      <c r="C30" s="276"/>
      <c r="D30" s="276"/>
      <c r="E30" s="276"/>
      <c r="F30" s="276"/>
      <c r="G30" s="276"/>
      <c r="H30" s="276"/>
      <c r="I30" s="276"/>
      <c r="J30" s="276"/>
      <c r="K30" s="276"/>
      <c r="L30" s="276"/>
      <c r="M30" s="276"/>
      <c r="N30" s="276"/>
      <c r="O30" s="276"/>
    </row>
    <row r="31" spans="1:15" ht="24" x14ac:dyDescent="0.25">
      <c r="A31" s="273" t="s">
        <v>198</v>
      </c>
      <c r="B31" s="273"/>
      <c r="C31" s="273"/>
      <c r="D31" s="273"/>
      <c r="E31" s="273"/>
      <c r="F31" s="273"/>
      <c r="G31" s="87" t="str">
        <f>'A MODIFIER'!A11</f>
        <v>*3 mois</v>
      </c>
      <c r="H31" s="87" t="str">
        <f>'A MODIFIER'!A12</f>
        <v>*6 mois</v>
      </c>
      <c r="I31" s="87" t="str">
        <f>IF(A32="","","Part dans le "&amp;B4)</f>
        <v>Part dans le TP02</v>
      </c>
      <c r="J31" s="12"/>
      <c r="K31" s="12"/>
      <c r="L31" s="12"/>
      <c r="M31" s="12"/>
      <c r="N31" s="88"/>
    </row>
    <row r="32" spans="1:15" x14ac:dyDescent="0.25">
      <c r="A32" s="89" t="str">
        <f>IF('DONNEES 3-6 MOIS'!N15&lt;&gt;0,'DONNEES 3-6 MOIS'!M15,"")</f>
        <v>Travail</v>
      </c>
      <c r="B32" s="12"/>
      <c r="C32" s="12"/>
      <c r="D32" s="12"/>
      <c r="E32" s="12"/>
      <c r="F32" s="12"/>
      <c r="G32" s="78">
        <f>IF('DONNEES 3-6 MOIS'!N15&lt;&gt;0,VLOOKUP(A32,'DONNEES 3-6 MOIS'!Q15:S55,2,FALSE),"")</f>
        <v>1.8898488120950852E-3</v>
      </c>
      <c r="H32" s="78">
        <f>IF('DONNEES 3-6 MOIS'!N15&lt;&gt;0,VLOOKUP(A32,'DONNEES 3-6 MOIS'!Q15:S55,3,FALSE),"")</f>
        <v>7.6097295828236877E-3</v>
      </c>
      <c r="I32" s="196">
        <f>IF('DONNEES 3-6 MOIS'!N15&lt;&gt;0,'DONNEES 3-6 MOIS'!N15,"")</f>
        <v>0.55000000000000004</v>
      </c>
      <c r="J32" s="12"/>
      <c r="K32" s="12"/>
      <c r="L32" s="12"/>
      <c r="M32" s="12"/>
      <c r="N32" s="12"/>
    </row>
    <row r="33" spans="1:14" x14ac:dyDescent="0.25">
      <c r="A33" s="89" t="str">
        <f>IF('DONNEES 3-6 MOIS'!N16&lt;&gt;0,'DONNEES 3-6 MOIS'!M16,"")</f>
        <v>Matériel</v>
      </c>
      <c r="B33" s="12"/>
      <c r="C33" s="12"/>
      <c r="D33" s="12"/>
      <c r="E33" s="12"/>
      <c r="F33" s="12"/>
      <c r="G33" s="78">
        <f>IF('DONNEES 3-6 MOIS'!N16&lt;&gt;0,VLOOKUP(A33,'DONNEES 3-6 MOIS'!Q15:S55,2,FALSE),"")</f>
        <v>3.0597234480729485E-2</v>
      </c>
      <c r="H33" s="78">
        <f>IF('DONNEES 3-6 MOIS'!N16&lt;&gt;0,VLOOKUP(A33,'DONNEES 3-6 MOIS'!Q15:S55,3,FALSE),"")</f>
        <v>4.4649614045709107E-2</v>
      </c>
      <c r="I33" s="196">
        <f>IF('DONNEES 3-6 MOIS'!N16&lt;&gt;0,'DONNEES 3-6 MOIS'!N16,"")</f>
        <v>0.15</v>
      </c>
      <c r="J33" s="12"/>
      <c r="K33" s="12"/>
      <c r="L33" s="12"/>
      <c r="M33" s="12"/>
      <c r="N33" s="12"/>
    </row>
    <row r="34" spans="1:14" x14ac:dyDescent="0.25">
      <c r="A34" s="89" t="str">
        <f>IF('DONNEES 3-6 MOIS'!N17&lt;&gt;0,'DONNEES 3-6 MOIS'!M17,"")</f>
        <v>Béton prêt à l'emploi</v>
      </c>
      <c r="B34" s="12"/>
      <c r="C34" s="12"/>
      <c r="D34" s="12"/>
      <c r="E34" s="12"/>
      <c r="F34" s="12"/>
      <c r="G34" s="78">
        <f>IF('DONNEES 3-6 MOIS'!N17&lt;&gt;0,VLOOKUP(A34,'DONNEES 3-6 MOIS'!Q15:S55,2,FALSE),"")</f>
        <v>2.5602857993450412E-2</v>
      </c>
      <c r="H34" s="78">
        <f>IF('DONNEES 3-6 MOIS'!N17&lt;&gt;0,VLOOKUP(A34,'DONNEES 3-6 MOIS'!Q15:S55,3,FALSE),"")</f>
        <v>4.8382126348228027E-2</v>
      </c>
      <c r="I34" s="196">
        <f>IF('DONNEES 3-6 MOIS'!N17&lt;&gt;0,'DONNEES 3-6 MOIS'!N17,"")</f>
        <v>0.12</v>
      </c>
      <c r="J34" s="87"/>
      <c r="K34" s="12"/>
      <c r="L34" s="12"/>
      <c r="M34" s="12"/>
      <c r="N34" s="12"/>
    </row>
    <row r="35" spans="1:14" x14ac:dyDescent="0.25">
      <c r="A35" s="89" t="str">
        <f>IF('DONNEES 3-6 MOIS'!N18&lt;&gt;0,'DONNEES 3-6 MOIS'!M18,"")</f>
        <v>Barres crénelées ou nervurées pour béton armé</v>
      </c>
      <c r="B35" s="12"/>
      <c r="C35" s="12"/>
      <c r="D35" s="12"/>
      <c r="E35" s="12"/>
      <c r="F35" s="12"/>
      <c r="G35" s="78">
        <f>IF('DONNEES 3-6 MOIS'!N18&lt;&gt;0,VLOOKUP(A35,'DONNEES 3-6 MOIS'!Q15:S55,2,FALSE),"")</f>
        <v>-7.5882504509147242E-2</v>
      </c>
      <c r="H35" s="78">
        <f>IF('DONNEES 3-6 MOIS'!N18&lt;&gt;0,VLOOKUP(A35,'DONNEES 3-6 MOIS'!Q15:S55,3,FALSE),"")</f>
        <v>0.26236159242667578</v>
      </c>
      <c r="I35" s="196">
        <f>IF('DONNEES 3-6 MOIS'!N18&lt;&gt;0,'DONNEES 3-6 MOIS'!N18,"")</f>
        <v>0.09</v>
      </c>
      <c r="J35" s="90"/>
      <c r="K35" s="87"/>
      <c r="L35" s="12"/>
      <c r="M35" s="12"/>
      <c r="N35" s="12"/>
    </row>
    <row r="36" spans="1:14" x14ac:dyDescent="0.25">
      <c r="A36" s="89" t="str">
        <f>IF('DONNEES 3-6 MOIS'!N19&lt;&gt;0,'DONNEES 3-6 MOIS'!M19,"")</f>
        <v>Tubes, tuyaux en matière plastique</v>
      </c>
      <c r="B36" s="12"/>
      <c r="C36" s="12"/>
      <c r="D36" s="12"/>
      <c r="E36" s="12"/>
      <c r="F36" s="12"/>
      <c r="G36" s="78">
        <f>IF('DONNEES 3-6 MOIS'!N19&lt;&gt;0,VLOOKUP(A36,'DONNEES 3-6 MOIS'!Q15:S55,2,FALSE),"")</f>
        <v>1.2391573729863659E-2</v>
      </c>
      <c r="H36" s="78">
        <f>IF('DONNEES 3-6 MOIS'!N19&lt;&gt;0,VLOOKUP(A36,'DONNEES 3-6 MOIS'!Q15:S55,3,FALSE),"")</f>
        <v>7.8066914498141182E-2</v>
      </c>
      <c r="I36" s="196">
        <f>IF('DONNEES 3-6 MOIS'!N19&lt;&gt;0,'DONNEES 3-6 MOIS'!N19,"")</f>
        <v>0.04</v>
      </c>
      <c r="J36" s="90"/>
      <c r="K36" s="90"/>
      <c r="L36" s="12"/>
      <c r="M36" s="12"/>
      <c r="N36" s="12"/>
    </row>
    <row r="37" spans="1:14" x14ac:dyDescent="0.25">
      <c r="A37" s="89" t="str">
        <f>IF('DONNEES 3-6 MOIS'!N20&lt;&gt;0,'DONNEES 3-6 MOIS'!M20,"")</f>
        <v>Ensemble des produits du sciage</v>
      </c>
      <c r="B37" s="12"/>
      <c r="C37" s="12"/>
      <c r="D37" s="12"/>
      <c r="E37" s="12"/>
      <c r="F37" s="12"/>
      <c r="G37" s="78">
        <f>IF('DONNEES 3-6 MOIS'!N20&lt;&gt;0,VLOOKUP(A37,'DONNEES 3-6 MOIS'!Q15:S55,2,FALSE),"")</f>
        <v>8.3090984628153564E-4</v>
      </c>
      <c r="H37" s="78">
        <f>IF('DONNEES 3-6 MOIS'!N20&lt;&gt;0,VLOOKUP(A37,'DONNEES 3-6 MOIS'!Q15:S55,3,FALSE),"")</f>
        <v>7.6802683063163846E-2</v>
      </c>
      <c r="I37" s="196">
        <f>IF('DONNEES 3-6 MOIS'!N20&lt;&gt;0,'DONNEES 3-6 MOIS'!N20,"")</f>
        <v>0.02</v>
      </c>
      <c r="J37" s="90"/>
      <c r="K37" s="90"/>
      <c r="L37" s="12"/>
      <c r="M37" s="12"/>
      <c r="N37" s="12"/>
    </row>
    <row r="38" spans="1:14" x14ac:dyDescent="0.25">
      <c r="A38" s="89" t="str">
        <f>IF('DONNEES 3-6 MOIS'!N21&lt;&gt;0,'DONNEES 3-6 MOIS'!M21,"")</f>
        <v>Frais divers</v>
      </c>
      <c r="B38" s="12"/>
      <c r="C38" s="12"/>
      <c r="D38" s="12"/>
      <c r="E38" s="12"/>
      <c r="F38" s="12"/>
      <c r="G38" s="78">
        <f>IF('DONNEES 3-6 MOIS'!N21&lt;&gt;0,VLOOKUP(A38,'DONNEES 3-6 MOIS'!Q15:S55,2,FALSE),"")</f>
        <v>3.372478169226123E-2</v>
      </c>
      <c r="H38" s="78">
        <f>IF('DONNEES 3-6 MOIS'!N21&lt;&gt;0,VLOOKUP(A38,'DONNEES 3-6 MOIS'!Q15:S55,3,FALSE),"")</f>
        <v>5.679862306368344E-2</v>
      </c>
      <c r="I38" s="196">
        <f>IF('DONNEES 3-6 MOIS'!N21&lt;&gt;0,'DONNEES 3-6 MOIS'!N21,"")</f>
        <v>0.01</v>
      </c>
      <c r="J38" s="90"/>
      <c r="K38" s="90"/>
      <c r="L38" s="12"/>
      <c r="M38" s="12"/>
      <c r="N38" s="12"/>
    </row>
    <row r="39" spans="1:14" x14ac:dyDescent="0.25">
      <c r="A39" s="89" t="str">
        <f>IF('DONNEES 3-6 MOIS'!N22&lt;&gt;0,'DONNEES 3-6 MOIS'!M22,"")</f>
        <v>Transports routiers</v>
      </c>
      <c r="B39" s="12"/>
      <c r="C39" s="12"/>
      <c r="D39" s="12"/>
      <c r="E39" s="12"/>
      <c r="F39" s="12"/>
      <c r="G39" s="78">
        <f>IF('DONNEES 3-6 MOIS'!N22&lt;&gt;0,VLOOKUP(A39,'DONNEES 3-6 MOIS'!Q15:S55,2,FALSE),"")</f>
        <v>1.7376194613379692E-2</v>
      </c>
      <c r="H39" s="78">
        <f>IF('DONNEES 3-6 MOIS'!N22&lt;&gt;0,VLOOKUP(A39,'DONNEES 3-6 MOIS'!Q15:S55,3,FALSE),"")</f>
        <v>4.5004500450045226E-2</v>
      </c>
      <c r="I39" s="196">
        <f>IF('DONNEES 3-6 MOIS'!N22&lt;&gt;0,'DONNEES 3-6 MOIS'!N22,"")</f>
        <v>0.01</v>
      </c>
      <c r="J39" s="90"/>
      <c r="K39" s="90"/>
      <c r="L39" s="12"/>
      <c r="M39" s="12"/>
      <c r="N39" s="12"/>
    </row>
    <row r="40" spans="1:14" x14ac:dyDescent="0.25">
      <c r="A40" s="89" t="str">
        <f>IF('DONNEES 3-6 MOIS'!N23&lt;&gt;0,'DONNEES 3-6 MOIS'!M23,"")</f>
        <v>Électricité vendue aux entreprises consommatrices finales</v>
      </c>
      <c r="B40" s="12"/>
      <c r="C40" s="12"/>
      <c r="D40" s="12"/>
      <c r="E40" s="12"/>
      <c r="F40" s="12"/>
      <c r="G40" s="78">
        <f>IF('DONNEES 3-6 MOIS'!N23&lt;&gt;0,VLOOKUP(A40,'DONNEES 3-6 MOIS'!Q15:S55,2,FALSE),"")</f>
        <v>-0.12578012481997114</v>
      </c>
      <c r="H40" s="78">
        <f>IF('DONNEES 3-6 MOIS'!N23&lt;&gt;0,VLOOKUP(A40,'DONNEES 3-6 MOIS'!Q15:S55,3,FALSE),"")</f>
        <v>-9.3673824724318289E-2</v>
      </c>
      <c r="I40" s="196">
        <f>IF('DONNEES 3-6 MOIS'!N23&lt;&gt;0,'DONNEES 3-6 MOIS'!N23,"")</f>
        <v>0.01</v>
      </c>
      <c r="J40" s="91" t="str">
        <f>IF(OR(A32="Travail activités spécialisées",A32="Fils et câbles d'énergie",A32="Tuyaux d'assainissement"),"juillet 2021 = juin 2021","")</f>
        <v/>
      </c>
      <c r="K40" s="90"/>
      <c r="L40" s="12"/>
      <c r="M40" s="92"/>
      <c r="N40" s="12"/>
    </row>
    <row r="41" spans="1:14" x14ac:dyDescent="0.25">
      <c r="A41" s="89" t="str">
        <f>IF('DONNEES 3-6 MOIS'!N24&lt;&gt;0,'DONNEES 3-6 MOIS'!M24,"")</f>
        <v/>
      </c>
      <c r="G41" s="78" t="str">
        <f>IF('DONNEES 3-6 MOIS'!N24&lt;&gt;0,VLOOKUP(A41,'DONNEES 3-6 MOIS'!Q15:S55,2,FALSE),"")</f>
        <v/>
      </c>
      <c r="H41" s="78" t="str">
        <f>IF('DONNEES 3-6 MOIS'!N24&lt;&gt;0,VLOOKUP(A41,'DONNEES 3-6 MOIS'!Q5:S55,3,FALSE),"")</f>
        <v/>
      </c>
      <c r="I41" s="196" t="str">
        <f>IF('DONNEES 3-6 MOIS'!N24&lt;&gt;0,'DONNEES 3-6 MOIS'!N24,"")</f>
        <v/>
      </c>
    </row>
    <row r="42" spans="1:14" x14ac:dyDescent="0.25">
      <c r="A42" s="89" t="str">
        <f>IF('DONNEES 3-6 MOIS'!N25&lt;&gt;0,'DONNEES 3-6 MOIS'!M25,"")</f>
        <v/>
      </c>
      <c r="G42" s="78" t="str">
        <f>IF('DONNEES 3-6 MOIS'!N25&lt;&gt;0,VLOOKUP(A42,'DONNEES 3-6 MOIS'!Q15:S55,2,FALSE),"")</f>
        <v/>
      </c>
      <c r="H42" s="78" t="str">
        <f>IF('DONNEES 3-6 MOIS'!N25&lt;&gt;0,VLOOKUP(A42,'DONNEES 3-6 MOIS'!Q15:S55,3,FALSE),"")</f>
        <v/>
      </c>
      <c r="I42" s="90" t="str">
        <f>IF('DONNEES 3-6 MOIS'!N25&lt;&gt;0,'DONNEES 3-6 MOIS'!N25,"")</f>
        <v/>
      </c>
    </row>
    <row r="43" spans="1:14" x14ac:dyDescent="0.25">
      <c r="A43" s="89" t="str">
        <f>IF('DONNEES 3-6 MOIS'!N26&lt;&gt;0,'DONNEES 3-6 MOIS'!M26,"")</f>
        <v/>
      </c>
      <c r="G43" s="178" t="str">
        <f>IF('DONNEES 3-6 MOIS'!N26&lt;&gt;0,VLOOKUP(A43,'DONNEES 3-6 MOIS'!Q15:S55,2,FALSE),"")</f>
        <v/>
      </c>
      <c r="H43" s="178" t="str">
        <f>IF('DONNEES 3-6 MOIS'!N26&lt;&gt;0,VLOOKUP(A43,'DONNEES 3-6 MOIS'!Q15:S55,3,FALSE),"")</f>
        <v/>
      </c>
      <c r="I43" s="90" t="str">
        <f>IF('DONNEES 3-6 MOIS'!N26&lt;&gt;0,'DONNEES 3-6 MOIS'!N26,"")</f>
        <v/>
      </c>
    </row>
    <row r="44" spans="1:14" x14ac:dyDescent="0.25">
      <c r="A44" s="89" t="str">
        <f>IF('DONNEES 3-6 MOIS'!N27&lt;&gt;0,'DONNEES 3-6 MOIS'!M27,"")</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55"/>
  <sheetViews>
    <sheetView showGridLines="0" topLeftCell="A13" zoomScaleNormal="100" workbookViewId="0">
      <selection activeCell="B15" sqref="B15"/>
    </sheetView>
  </sheetViews>
  <sheetFormatPr baseColWidth="10" defaultRowHeight="15" x14ac:dyDescent="0.25"/>
  <cols>
    <col min="1" max="1" width="11.5703125" customWidth="1"/>
    <col min="2" max="2" width="61.28515625" bestFit="1" customWidth="1"/>
    <col min="3" max="4" width="7" bestFit="1" customWidth="1"/>
    <col min="5" max="5" width="6.28515625" bestFit="1" customWidth="1"/>
  </cols>
  <sheetData>
    <row r="1" spans="1:6" x14ac:dyDescent="0.25">
      <c r="A1" s="47" t="str">
        <f>"CLASSEMENT DES INDICES SELON LEUR ÉVOLUTION A FIN "&amp;'A MODIFIER'!B4&amp;" EN CUMUL DEPUIS JANVIER PAR RAPPORT À "&amp;TEXT(EDATE(DATE3,-12),"aaaa")&amp;" ET "&amp;TEXT(EDATE(DATE3,-24),"aaaa")</f>
        <v>CLASSEMENT DES INDICES SELON LEUR ÉVOLUTION A FIN SEPTEMBRE 2022 EN CUMUL DEPUIS JANVIER PAR RAPPORT À 2021 ET 2020</v>
      </c>
      <c r="B1" s="47"/>
      <c r="C1" s="47"/>
      <c r="D1" s="15"/>
      <c r="E1" s="15"/>
      <c r="F1" s="157"/>
    </row>
    <row r="2" spans="1:6" x14ac:dyDescent="0.25">
      <c r="B2" s="12"/>
      <c r="C2" s="12"/>
      <c r="D2" s="12"/>
    </row>
    <row r="3" spans="1:6" x14ac:dyDescent="0.25">
      <c r="A3" s="13" t="str" cm="1">
        <f t="array" ref="A3:A4">'A MODIFIER'!E5:E6</f>
        <v>*/2021 = Cumul janv 2022-sept 2022 / Cumul janv 2021-sept 2021</v>
      </c>
      <c r="B3" s="12"/>
      <c r="C3" s="12"/>
      <c r="D3" s="12"/>
    </row>
    <row r="4" spans="1:6" x14ac:dyDescent="0.25">
      <c r="A4" s="59" t="str">
        <v>*/2020 = Cumul janv 2022-sept 2022 / Cumul janv 2020-sept 2020</v>
      </c>
      <c r="B4" s="12"/>
      <c r="C4" s="12"/>
      <c r="D4" s="48"/>
    </row>
    <row r="5" spans="1:6" x14ac:dyDescent="0.25">
      <c r="B5" s="12"/>
      <c r="C5" s="12"/>
      <c r="D5" s="48"/>
    </row>
    <row r="6" spans="1:6" x14ac:dyDescent="0.25">
      <c r="A6" s="12" t="s">
        <v>178</v>
      </c>
    </row>
    <row r="7" spans="1:6" x14ac:dyDescent="0.25">
      <c r="A7" s="12"/>
    </row>
    <row r="10" spans="1:6" x14ac:dyDescent="0.25">
      <c r="A10" s="7"/>
      <c r="B10" s="55"/>
      <c r="C10" s="58" t="str">
        <f>'A MODIFIER'!A10</f>
        <v>*/2021</v>
      </c>
      <c r="D10" s="155" t="str">
        <f>'A MODIFIER'!A9</f>
        <v>*/2020</v>
      </c>
    </row>
    <row r="11" spans="1:6" x14ac:dyDescent="0.25">
      <c r="A11" s="230" t="str" cm="1">
        <f t="array" ref="A11:D51">'DEPUIS JANVIER'!J40:M80</f>
        <v>010534776</v>
      </c>
      <c r="B11" s="172" t="str">
        <v>Gaz naturel</v>
      </c>
      <c r="C11" s="205">
        <v>3.41726075652101</v>
      </c>
      <c r="D11" s="201">
        <v>13.907161052929522</v>
      </c>
    </row>
    <row r="12" spans="1:6" x14ac:dyDescent="0.25">
      <c r="A12" s="230" t="str">
        <v>Gazole routier HTT</v>
      </c>
      <c r="B12" s="172" t="str">
        <v>Gazole routier HTT</v>
      </c>
      <c r="C12" s="205">
        <v>0.67861438811862906</v>
      </c>
      <c r="D12" s="201">
        <v>1.2356522298301886</v>
      </c>
    </row>
    <row r="13" spans="1:6" x14ac:dyDescent="0.25">
      <c r="A13" s="230" t="str">
        <v>010758171</v>
      </c>
      <c r="B13" s="172" t="str">
        <v>GNR</v>
      </c>
      <c r="C13" s="205">
        <v>0.56175489439496218</v>
      </c>
      <c r="D13" s="201">
        <v>0.83458129028007733</v>
      </c>
    </row>
    <row r="14" spans="1:6" x14ac:dyDescent="0.25">
      <c r="A14" s="230" t="str">
        <v>010536462</v>
      </c>
      <c r="B14" s="172" t="str">
        <v>Acier pour la construction</v>
      </c>
      <c r="C14" s="205">
        <v>0.49281822684497301</v>
      </c>
      <c r="D14" s="201">
        <v>1.153736218864843</v>
      </c>
    </row>
    <row r="15" spans="1:6" x14ac:dyDescent="0.25">
      <c r="A15" s="230" t="str">
        <v>010534598</v>
      </c>
      <c r="B15" s="172" t="str">
        <v>Bitume</v>
      </c>
      <c r="C15" s="205">
        <v>0.44992186390112221</v>
      </c>
      <c r="D15" s="201">
        <v>0.67311475409836063</v>
      </c>
    </row>
    <row r="16" spans="1:6" x14ac:dyDescent="0.25">
      <c r="A16" s="230" t="str">
        <v>010546545</v>
      </c>
      <c r="B16" s="172" t="str">
        <v>Barres crénelées ou nervurées pour béton armé</v>
      </c>
      <c r="C16" s="205">
        <v>0.43733296786130316</v>
      </c>
      <c r="D16" s="201">
        <v>1.1071930882057464</v>
      </c>
    </row>
    <row r="17" spans="1:4" x14ac:dyDescent="0.25">
      <c r="A17" s="230" t="str">
        <v>010534267</v>
      </c>
      <c r="B17" s="172" t="str">
        <v>Produits sidérurgiques en acier non allié</v>
      </c>
      <c r="C17" s="205">
        <v>0.40667449270501455</v>
      </c>
      <c r="D17" s="201">
        <v>0.75996642887117116</v>
      </c>
    </row>
    <row r="18" spans="1:4" x14ac:dyDescent="0.25">
      <c r="A18" s="230" t="str">
        <v>010534613</v>
      </c>
      <c r="B18" s="172" t="str">
        <v>Autres produits chimiques</v>
      </c>
      <c r="C18" s="205">
        <v>0.36238990284209627</v>
      </c>
      <c r="D18" s="201">
        <v>0.49695699890252465</v>
      </c>
    </row>
    <row r="19" spans="1:4" x14ac:dyDescent="0.25">
      <c r="A19" s="230" t="str">
        <v>001764283</v>
      </c>
      <c r="B19" s="172" t="str">
        <v>Gazole</v>
      </c>
      <c r="C19" s="205">
        <v>0.32894112833483691</v>
      </c>
      <c r="D19" s="201">
        <v>0.44251655361757103</v>
      </c>
    </row>
    <row r="20" spans="1:4" x14ac:dyDescent="0.25">
      <c r="A20" s="56" t="str">
        <v>010534606</v>
      </c>
      <c r="B20" s="26" t="str">
        <v>Matières plastiques sous formes primaires</v>
      </c>
      <c r="C20" s="205">
        <v>0.30385684503127175</v>
      </c>
      <c r="D20" s="201">
        <v>0.82959531935641162</v>
      </c>
    </row>
    <row r="21" spans="1:4" x14ac:dyDescent="0.25">
      <c r="A21" s="56" t="str">
        <v>010536480</v>
      </c>
      <c r="B21" s="26" t="str">
        <v>Tôles quarto et autres produits plats en aciers non alliés de qualité</v>
      </c>
      <c r="C21" s="205">
        <v>0.28805031446540896</v>
      </c>
      <c r="D21" s="201">
        <v>0.98017887357988864</v>
      </c>
    </row>
    <row r="22" spans="1:4" x14ac:dyDescent="0.25">
      <c r="A22" s="56" t="str">
        <v>010534654</v>
      </c>
      <c r="B22" s="26" t="str">
        <v>Tubes, tuyaux, profilés creux et accessoires correspondants en acier</v>
      </c>
      <c r="C22" s="205">
        <v>0.26648324653630762</v>
      </c>
      <c r="D22" s="201">
        <v>0.36189771766694845</v>
      </c>
    </row>
    <row r="23" spans="1:4" x14ac:dyDescent="0.25">
      <c r="A23" s="56" t="str">
        <v>010534575</v>
      </c>
      <c r="B23" s="26" t="str">
        <v>Ensemble des produits du sciage</v>
      </c>
      <c r="C23" s="205">
        <v>0.26293333333333324</v>
      </c>
      <c r="D23" s="201">
        <v>0.47830610758505898</v>
      </c>
    </row>
    <row r="24" spans="1:4" x14ac:dyDescent="0.25">
      <c r="A24" s="56" t="str">
        <v>010534330</v>
      </c>
      <c r="B24" s="26" t="str">
        <v>Fils et câbles d'énergie</v>
      </c>
      <c r="C24" s="205">
        <v>0.24473788721207312</v>
      </c>
      <c r="D24" s="201">
        <v>0.46374781085814387</v>
      </c>
    </row>
    <row r="25" spans="1:4" x14ac:dyDescent="0.25">
      <c r="A25" s="56" t="str">
        <v>010534642</v>
      </c>
      <c r="B25" s="26" t="str">
        <v>Ciment, chaux et plâtre</v>
      </c>
      <c r="C25" s="205">
        <v>0.22091295116772813</v>
      </c>
      <c r="D25" s="201">
        <v>0.24591051890369386</v>
      </c>
    </row>
    <row r="26" spans="1:4" x14ac:dyDescent="0.25">
      <c r="A26" s="56" t="str">
        <v>010534625</v>
      </c>
      <c r="B26" s="26" t="str">
        <v>Plaques, feuilles, tubes et profilés en matières plastiques</v>
      </c>
      <c r="C26" s="205">
        <v>0.21830985915492973</v>
      </c>
      <c r="D26" s="201">
        <v>0.39935290039288196</v>
      </c>
    </row>
    <row r="27" spans="1:4" x14ac:dyDescent="0.25">
      <c r="A27" s="56" t="str">
        <v>010534662</v>
      </c>
      <c r="B27" s="26" t="str">
        <v>Travaux de fonderie de fonte</v>
      </c>
      <c r="C27" s="205">
        <v>0.20940219233811708</v>
      </c>
      <c r="D27" s="201">
        <v>0.26381672177609783</v>
      </c>
    </row>
    <row r="28" spans="1:4" x14ac:dyDescent="0.25">
      <c r="A28" s="56" t="str">
        <v>010534180</v>
      </c>
      <c r="B28" s="26" t="str">
        <v>Peintures Industries</v>
      </c>
      <c r="C28" s="206">
        <v>0.20875984251968482</v>
      </c>
      <c r="D28" s="207">
        <v>0.23290834253588977</v>
      </c>
    </row>
    <row r="29" spans="1:4" x14ac:dyDescent="0.25">
      <c r="A29" s="56" t="str">
        <v>010534638</v>
      </c>
      <c r="B29" s="26" t="str">
        <v>Tuiles, briques et produits de construction en terre cuite</v>
      </c>
      <c r="C29" s="205">
        <v>0.20170848905499206</v>
      </c>
      <c r="D29" s="201">
        <v>0.2108887454271573</v>
      </c>
    </row>
    <row r="30" spans="1:4" x14ac:dyDescent="0.25">
      <c r="A30" s="56" t="str">
        <v>010534207</v>
      </c>
      <c r="B30" s="26" t="str">
        <v>Tubes, tuyaux en matière plastique</v>
      </c>
      <c r="C30" s="205">
        <v>0.19917554795897852</v>
      </c>
      <c r="D30" s="201">
        <v>0.32536948549838884</v>
      </c>
    </row>
    <row r="31" spans="1:4" x14ac:dyDescent="0.25">
      <c r="A31" s="56" t="str">
        <v>010534667</v>
      </c>
      <c r="B31" s="26" t="str">
        <v>Éléments en métal pour la construction</v>
      </c>
      <c r="C31" s="205">
        <v>0.14867873390765673</v>
      </c>
      <c r="D31" s="201">
        <v>0.20845213849287192</v>
      </c>
    </row>
    <row r="32" spans="1:4" x14ac:dyDescent="0.25">
      <c r="A32" s="56" t="str">
        <v>010534769</v>
      </c>
      <c r="B32" s="26" t="str">
        <v>Électricité vendue aux entreprises consommatrices finales</v>
      </c>
      <c r="C32" s="205">
        <v>0.14841341795104257</v>
      </c>
      <c r="D32" s="201">
        <v>0.19635436343029844</v>
      </c>
    </row>
    <row r="33" spans="1:4" x14ac:dyDescent="0.25">
      <c r="A33" s="56" t="str">
        <v>010534784</v>
      </c>
      <c r="B33" s="26" t="str">
        <v>Collecte, traitement et élimination des déchets ; récupération de matériaux</v>
      </c>
      <c r="C33" s="205">
        <v>0.13794713738675646</v>
      </c>
      <c r="D33" s="201">
        <v>0.359063022866704</v>
      </c>
    </row>
    <row r="34" spans="1:4" x14ac:dyDescent="0.25">
      <c r="A34" s="56" t="str">
        <v>010534645</v>
      </c>
      <c r="B34" s="26" t="str">
        <v>Éléments en béton pour la construction</v>
      </c>
      <c r="C34" s="205">
        <v>0.1052910613932776</v>
      </c>
      <c r="D34" s="201">
        <v>0.1206192216727584</v>
      </c>
    </row>
    <row r="35" spans="1:4" x14ac:dyDescent="0.25">
      <c r="A35" s="56" t="str">
        <v>010534252</v>
      </c>
      <c r="B35" s="26" t="str">
        <v>Produits de voierie en béton</v>
      </c>
      <c r="C35" s="205">
        <v>0.10338826901422848</v>
      </c>
      <c r="D35" s="201">
        <v>0.14511845320301697</v>
      </c>
    </row>
    <row r="36" spans="1:4" x14ac:dyDescent="0.25">
      <c r="A36" s="56" t="str">
        <v>010534696</v>
      </c>
      <c r="B36" s="26" t="str">
        <v>Moteurs, génératrices, transfo. électr., matér. distrib., cmde électr.</v>
      </c>
      <c r="C36" s="205">
        <v>8.8900634249471366E-2</v>
      </c>
      <c r="D36" s="201">
        <v>0.1045464293373366</v>
      </c>
    </row>
    <row r="37" spans="1:4" x14ac:dyDescent="0.25">
      <c r="A37" s="56" t="str">
        <v>010534698</v>
      </c>
      <c r="B37" s="26" t="str">
        <v>Matériel de distribution et de commande électrique</v>
      </c>
      <c r="C37" s="205">
        <v>8.7262417305471018E-2</v>
      </c>
      <c r="D37" s="201">
        <v>0.11369258900720691</v>
      </c>
    </row>
    <row r="38" spans="1:4" x14ac:dyDescent="0.25">
      <c r="A38" s="56" t="str">
        <v>010760506</v>
      </c>
      <c r="B38" s="26" t="str">
        <v>Réseaux d’assainissement</v>
      </c>
      <c r="C38" s="205">
        <v>8.5368863380137272E-2</v>
      </c>
      <c r="D38" s="201">
        <v>0.14091187244128411</v>
      </c>
    </row>
    <row r="39" spans="1:4" x14ac:dyDescent="0.25">
      <c r="A39" s="56" t="str">
        <v>010534789</v>
      </c>
      <c r="B39" s="26" t="str">
        <v>Traitement et élimination des déchets non dangereux</v>
      </c>
      <c r="C39" s="205">
        <v>7.5806147463699958E-2</v>
      </c>
      <c r="D39" s="201">
        <v>0.12992671816201229</v>
      </c>
    </row>
    <row r="40" spans="1:4" x14ac:dyDescent="0.25">
      <c r="A40" s="56" t="str">
        <v>010534554</v>
      </c>
      <c r="B40" s="26" t="str">
        <v>Autres textiles</v>
      </c>
      <c r="C40" s="205">
        <v>7.4293900941465374E-2</v>
      </c>
      <c r="D40" s="201">
        <v>9.880678249947672E-2</v>
      </c>
    </row>
    <row r="41" spans="1:4" x14ac:dyDescent="0.25">
      <c r="A41" s="56" t="str">
        <v>010534647</v>
      </c>
      <c r="B41" s="26" t="str">
        <v>Mortiers et bétons secs</v>
      </c>
      <c r="C41" s="205">
        <v>6.8490153172866552E-2</v>
      </c>
      <c r="D41" s="201">
        <v>7.6973974415527113E-2</v>
      </c>
    </row>
    <row r="42" spans="1:4" x14ac:dyDescent="0.25">
      <c r="A42" s="56" t="str">
        <v>001711009</v>
      </c>
      <c r="B42" s="26" t="str">
        <v>Matériel</v>
      </c>
      <c r="C42" s="205">
        <v>6.106791083462948E-2</v>
      </c>
      <c r="D42" s="201">
        <v>9.0231170768083624E-2</v>
      </c>
    </row>
    <row r="43" spans="1:4" x14ac:dyDescent="0.25">
      <c r="A43" s="56" t="str">
        <v>001711011</v>
      </c>
      <c r="B43" s="26" t="str">
        <v>Frais divers</v>
      </c>
      <c r="C43" s="205">
        <v>5.7224758466928316E-2</v>
      </c>
      <c r="D43" s="201">
        <v>6.7882037533511852E-2</v>
      </c>
    </row>
    <row r="44" spans="1:4" x14ac:dyDescent="0.25">
      <c r="A44" s="56" t="str">
        <v>010534646</v>
      </c>
      <c r="B44" s="26" t="str">
        <v>Béton prêt à l'emploi</v>
      </c>
      <c r="C44" s="205">
        <v>5.5102467586783721E-2</v>
      </c>
      <c r="D44" s="201">
        <v>7.0776740237691094E-2</v>
      </c>
    </row>
    <row r="45" spans="1:4" x14ac:dyDescent="0.25">
      <c r="A45" s="56" t="str">
        <v>001763781</v>
      </c>
      <c r="B45" s="26" t="str">
        <v>Restaurants et hôtels</v>
      </c>
      <c r="C45" s="205">
        <v>4.531817625209178E-2</v>
      </c>
      <c r="D45" s="201">
        <v>4.9849856005247162E-2</v>
      </c>
    </row>
    <row r="46" spans="1:4" x14ac:dyDescent="0.25">
      <c r="A46" s="56" t="str">
        <v>001711943</v>
      </c>
      <c r="B46" s="26" t="str">
        <v>Transports routiers</v>
      </c>
      <c r="C46" s="205">
        <v>4.2897612302711607E-2</v>
      </c>
      <c r="D46" s="201">
        <v>4.4906234161176117E-2</v>
      </c>
    </row>
    <row r="47" spans="1:4" x14ac:dyDescent="0.25">
      <c r="A47" s="56" t="str">
        <v>010536067</v>
      </c>
      <c r="B47" s="26" t="str">
        <v>Sables et granulats</v>
      </c>
      <c r="C47" s="205">
        <v>3.8867000319454892E-2</v>
      </c>
      <c r="D47" s="201">
        <v>5.1973258572352687E-2</v>
      </c>
    </row>
    <row r="48" spans="1:4" x14ac:dyDescent="0.25">
      <c r="A48" s="56" t="str">
        <v>010534702</v>
      </c>
      <c r="B48" s="26" t="str">
        <v>Appareils d'éclairage électrique</v>
      </c>
      <c r="C48" s="205">
        <v>3.5718374356038751E-2</v>
      </c>
      <c r="D48" s="201">
        <v>3.3116364051615665E-2</v>
      </c>
    </row>
    <row r="49" spans="1:4" x14ac:dyDescent="0.25">
      <c r="A49" s="56" t="str">
        <v>001565195</v>
      </c>
      <c r="B49" s="26" t="str">
        <v>Travail activités spécialisées</v>
      </c>
      <c r="C49" s="205">
        <v>1.2337896253602043E-2</v>
      </c>
      <c r="D49" s="201">
        <v>2.9584172925444241E-2</v>
      </c>
    </row>
    <row r="50" spans="1:4" x14ac:dyDescent="0.25">
      <c r="A50" s="56" t="str">
        <v>5540998</v>
      </c>
      <c r="B50" s="26" t="str">
        <v>Travail</v>
      </c>
      <c r="C50" s="205">
        <v>3.5262206148283237E-3</v>
      </c>
      <c r="D50" s="201">
        <v>-2.785265049415897E-3</v>
      </c>
    </row>
    <row r="51" spans="1:4" x14ac:dyDescent="0.25">
      <c r="A51" s="57" t="str">
        <v>010535345</v>
      </c>
      <c r="B51" s="27" t="str">
        <v>Câbles de fibres optiques</v>
      </c>
      <c r="C51" s="208">
        <v>-1.0704345964461792E-3</v>
      </c>
      <c r="D51" s="204">
        <v>-2.7916666666666701E-2</v>
      </c>
    </row>
    <row r="54" spans="1:4" x14ac:dyDescent="0.25">
      <c r="A54" s="60" t="s">
        <v>301</v>
      </c>
    </row>
    <row r="55" spans="1:4" x14ac:dyDescent="0.25">
      <c r="A55" s="60" t="s">
        <v>302</v>
      </c>
    </row>
  </sheetData>
  <conditionalFormatting sqref="C11:D51">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D59"/>
  <sheetViews>
    <sheetView showGridLines="0" zoomScaleNormal="100" workbookViewId="0">
      <selection activeCell="A40" sqref="A40"/>
    </sheetView>
  </sheetViews>
  <sheetFormatPr baseColWidth="10" defaultRowHeight="15" x14ac:dyDescent="0.25"/>
  <cols>
    <col min="1" max="1" width="61.28515625" bestFit="1" customWidth="1"/>
  </cols>
  <sheetData>
    <row r="1" spans="1:4" x14ac:dyDescent="0.25">
      <c r="A1" s="11" t="s">
        <v>180</v>
      </c>
      <c r="B1" s="14"/>
      <c r="C1" s="15"/>
      <c r="D1" s="50"/>
    </row>
    <row r="2" spans="1:4" x14ac:dyDescent="0.25">
      <c r="A2" s="12"/>
      <c r="B2" s="12"/>
      <c r="C2" s="12"/>
      <c r="D2" s="12"/>
    </row>
    <row r="3" spans="1:4" x14ac:dyDescent="0.25">
      <c r="A3" s="13" t="str" cm="1">
        <f t="array" ref="A3:A4">'A MODIFIER'!E7:E8</f>
        <v>*3 mois = Cumul juil 2022-sept 2022 / Cumul avr 2022-juin 2022</v>
      </c>
      <c r="B3" s="28"/>
      <c r="C3" s="12"/>
      <c r="D3" s="12"/>
    </row>
    <row r="4" spans="1:4" x14ac:dyDescent="0.25">
      <c r="A4" s="13" t="str">
        <v>*6 mois = Cumul avr 2022-sept 2022 / Cumul oct 2021-mars 2022</v>
      </c>
      <c r="B4" s="28"/>
      <c r="C4" s="12"/>
      <c r="D4" s="12"/>
    </row>
    <row r="7" spans="1:4" x14ac:dyDescent="0.25">
      <c r="A7" s="24"/>
      <c r="B7" s="49" t="str">
        <f>'A MODIFIER'!A11</f>
        <v>*3 mois</v>
      </c>
      <c r="C7" s="49" t="str">
        <f>'A MODIFIER'!A12</f>
        <v>*6 mois</v>
      </c>
    </row>
    <row r="8" spans="1:4" x14ac:dyDescent="0.25">
      <c r="A8" s="9" t="str" cm="1">
        <f t="array" ref="A8:C48">'3-6 MOIS GLISSANTS'!K42:M82</f>
        <v>Gaz naturel</v>
      </c>
      <c r="B8" s="204">
        <v>0.54948535233570839</v>
      </c>
      <c r="C8" s="204">
        <v>0.45761816741484029</v>
      </c>
    </row>
    <row r="9" spans="1:4" x14ac:dyDescent="0.25">
      <c r="A9" s="9" t="str">
        <v>Peintures Industries</v>
      </c>
      <c r="B9" s="204">
        <v>0.11947461480171762</v>
      </c>
      <c r="C9" s="204">
        <v>0.10977383943922736</v>
      </c>
    </row>
    <row r="10" spans="1:4" x14ac:dyDescent="0.25">
      <c r="A10" s="234" t="str">
        <v>Tubes, tuyaux, profilés creux et accessoires correspondants en acier</v>
      </c>
      <c r="B10" s="204">
        <v>8.8774072334429244E-2</v>
      </c>
      <c r="C10" s="204">
        <v>0.16811137378513252</v>
      </c>
    </row>
    <row r="11" spans="1:4" x14ac:dyDescent="0.25">
      <c r="A11" s="234" t="str">
        <v>Réseaux d’assainissement</v>
      </c>
      <c r="B11" s="204">
        <v>6.3993174061433455E-2</v>
      </c>
      <c r="C11" s="204">
        <v>6.5878590464909736E-2</v>
      </c>
    </row>
    <row r="12" spans="1:4" x14ac:dyDescent="0.25">
      <c r="A12" s="234" t="str">
        <v>Éléments en béton pour la construction</v>
      </c>
      <c r="B12" s="204">
        <v>5.9336823734729593E-2</v>
      </c>
      <c r="C12" s="204">
        <v>8.1741787624140416E-2</v>
      </c>
    </row>
    <row r="13" spans="1:4" x14ac:dyDescent="0.25">
      <c r="A13" s="234" t="str">
        <v>Tuiles, briques et produits de construction en terre cuite</v>
      </c>
      <c r="B13" s="204">
        <v>5.1855751513556259E-2</v>
      </c>
      <c r="C13" s="204">
        <v>0.1773146050445551</v>
      </c>
    </row>
    <row r="14" spans="1:4" x14ac:dyDescent="0.25">
      <c r="A14" s="234" t="str">
        <v>Travaux de fonderie de fonte</v>
      </c>
      <c r="B14" s="204">
        <v>5.1040221914008255E-2</v>
      </c>
      <c r="C14" s="204">
        <v>0.1410493827160495</v>
      </c>
    </row>
    <row r="15" spans="1:4" x14ac:dyDescent="0.25">
      <c r="A15" s="234" t="str">
        <v>Restaurants et hôtels</v>
      </c>
      <c r="B15" s="204">
        <v>4.8885863936318108E-2</v>
      </c>
      <c r="C15" s="204">
        <v>4.9919631213416915E-2</v>
      </c>
    </row>
    <row r="16" spans="1:4" x14ac:dyDescent="0.25">
      <c r="A16" s="234" t="str">
        <v>Ciment, chaux et plâtre</v>
      </c>
      <c r="B16" s="204">
        <v>4.8378661087866037E-2</v>
      </c>
      <c r="C16" s="204">
        <v>0.13670004353504583</v>
      </c>
    </row>
    <row r="17" spans="1:3" x14ac:dyDescent="0.25">
      <c r="A17" s="234" t="str">
        <v>Frais divers</v>
      </c>
      <c r="B17" s="204">
        <v>3.372478169226123E-2</v>
      </c>
      <c r="C17" s="204">
        <v>5.679862306368344E-2</v>
      </c>
    </row>
    <row r="18" spans="1:3" x14ac:dyDescent="0.25">
      <c r="A18" s="234" t="str">
        <v>Matériel</v>
      </c>
      <c r="B18" s="204">
        <v>3.0597234480729485E-2</v>
      </c>
      <c r="C18" s="204">
        <v>4.4649614045709107E-2</v>
      </c>
    </row>
    <row r="19" spans="1:3" x14ac:dyDescent="0.25">
      <c r="A19" s="234" t="str">
        <v>Béton prêt à l'emploi</v>
      </c>
      <c r="B19" s="204">
        <v>2.5602857993450412E-2</v>
      </c>
      <c r="C19" s="204">
        <v>4.8382126348228027E-2</v>
      </c>
    </row>
    <row r="20" spans="1:3" x14ac:dyDescent="0.25">
      <c r="A20" s="234" t="str">
        <v>Sables et granulats</v>
      </c>
      <c r="B20" s="204">
        <v>2.2433927473878512E-2</v>
      </c>
      <c r="C20" s="204">
        <v>4.8430779034570381E-2</v>
      </c>
    </row>
    <row r="21" spans="1:3" x14ac:dyDescent="0.25">
      <c r="A21" s="234" t="str">
        <v>Mortiers et bétons secs</v>
      </c>
      <c r="B21" s="204">
        <v>2.2351500306184935E-2</v>
      </c>
      <c r="C21" s="204">
        <v>6.206785656858016E-2</v>
      </c>
    </row>
    <row r="22" spans="1:3" x14ac:dyDescent="0.25">
      <c r="A22" s="234" t="str">
        <v>Moteurs, génératrices, transfo. électr., matér. distrib., cmde électr.</v>
      </c>
      <c r="B22" s="204">
        <v>2.1517883105554025E-2</v>
      </c>
      <c r="C22" s="204">
        <v>5.8787694182150574E-2</v>
      </c>
    </row>
    <row r="23" spans="1:3" x14ac:dyDescent="0.25">
      <c r="A23" s="234" t="str">
        <v>Produits de voierie en béton</v>
      </c>
      <c r="B23" s="204">
        <v>2.0532741398446186E-2</v>
      </c>
      <c r="C23" s="204">
        <v>5.9508220573257775E-2</v>
      </c>
    </row>
    <row r="24" spans="1:3" x14ac:dyDescent="0.25">
      <c r="A24" s="9" t="str">
        <v>Matériel de distribution et de commande électrique</v>
      </c>
      <c r="B24" s="204">
        <v>1.9976838448176215E-2</v>
      </c>
      <c r="C24" s="204">
        <v>5.6480920654149003E-2</v>
      </c>
    </row>
    <row r="25" spans="1:3" x14ac:dyDescent="0.25">
      <c r="A25" s="9" t="str">
        <v>Transports routiers</v>
      </c>
      <c r="B25" s="204">
        <v>1.7376194613379692E-2</v>
      </c>
      <c r="C25" s="204">
        <v>4.5004500450045226E-2</v>
      </c>
    </row>
    <row r="26" spans="1:3" x14ac:dyDescent="0.25">
      <c r="A26" s="9" t="str">
        <v>Appareils d'éclairage électrique</v>
      </c>
      <c r="B26" s="204">
        <v>1.556806889698592E-2</v>
      </c>
      <c r="C26" s="204">
        <v>3.6273841961852682E-2</v>
      </c>
    </row>
    <row r="27" spans="1:3" x14ac:dyDescent="0.25">
      <c r="A27" s="9" t="str">
        <v>Fils et câbles d'énergie</v>
      </c>
      <c r="B27" s="204">
        <v>1.2977819726285977E-2</v>
      </c>
      <c r="C27" s="204">
        <v>9.5825305073860001E-2</v>
      </c>
    </row>
    <row r="28" spans="1:3" x14ac:dyDescent="0.25">
      <c r="A28" s="9" t="str">
        <v>Éléments en métal pour la construction</v>
      </c>
      <c r="B28" s="204">
        <v>1.251877816725111E-2</v>
      </c>
      <c r="C28" s="204">
        <v>6.9167331737164162E-2</v>
      </c>
    </row>
    <row r="29" spans="1:3" x14ac:dyDescent="0.25">
      <c r="A29" s="9" t="str">
        <v>Tubes, tuyaux en matière plastique</v>
      </c>
      <c r="B29" s="204">
        <v>1.2391573729863659E-2</v>
      </c>
      <c r="C29" s="204">
        <v>7.8066914498141182E-2</v>
      </c>
    </row>
    <row r="30" spans="1:3" x14ac:dyDescent="0.25">
      <c r="A30" s="9" t="str">
        <v>Câbles de fibres optiques</v>
      </c>
      <c r="B30" s="204">
        <v>9.6494049533613069E-3</v>
      </c>
      <c r="C30" s="204">
        <v>1.3956507627393533E-2</v>
      </c>
    </row>
    <row r="31" spans="1:3" x14ac:dyDescent="0.25">
      <c r="A31" s="9" t="str">
        <v>Plaques, feuilles, tubes et profilés en matières plastiques</v>
      </c>
      <c r="B31" s="204">
        <v>9.2098885118760965E-3</v>
      </c>
      <c r="C31" s="204">
        <v>0.10533333333333328</v>
      </c>
    </row>
    <row r="32" spans="1:3" x14ac:dyDescent="0.25">
      <c r="A32" s="9" t="str">
        <v>Autres textiles</v>
      </c>
      <c r="B32" s="204">
        <v>7.1002556092019109E-3</v>
      </c>
      <c r="C32" s="204">
        <v>4.1408782788092902E-2</v>
      </c>
    </row>
    <row r="33" spans="1:3" x14ac:dyDescent="0.25">
      <c r="A33" s="9" t="str">
        <v>Traitement et élimination des déchets non dangereux</v>
      </c>
      <c r="B33" s="204">
        <v>5.5205047318611644E-3</v>
      </c>
      <c r="C33" s="204">
        <v>4.0223616034906096E-2</v>
      </c>
    </row>
    <row r="34" spans="1:3" x14ac:dyDescent="0.25">
      <c r="A34" s="9" t="str">
        <v>Travail activités spécialisées</v>
      </c>
      <c r="B34" s="204">
        <v>2.6631158455392434E-3</v>
      </c>
      <c r="C34" s="204">
        <v>1.4160485502360043E-2</v>
      </c>
    </row>
    <row r="35" spans="1:3" x14ac:dyDescent="0.25">
      <c r="A35" s="9" t="str">
        <v>Travail</v>
      </c>
      <c r="B35" s="204">
        <v>1.8898488120950852E-3</v>
      </c>
      <c r="C35" s="204">
        <v>7.6097295828236877E-3</v>
      </c>
    </row>
    <row r="36" spans="1:3" x14ac:dyDescent="0.25">
      <c r="A36" s="9" t="str">
        <v>Ensemble des produits du sciage</v>
      </c>
      <c r="B36" s="204">
        <v>8.3090984628153564E-4</v>
      </c>
      <c r="C36" s="204">
        <v>7.6802683063163846E-2</v>
      </c>
    </row>
    <row r="37" spans="1:3" x14ac:dyDescent="0.25">
      <c r="A37" s="9" t="str">
        <v>Tôles quarto et autres produits plats en aciers non alliés de qualité</v>
      </c>
      <c r="B37" s="204">
        <v>-9.0187590187607025E-4</v>
      </c>
      <c r="C37" s="204">
        <v>2.506474287828353E-2</v>
      </c>
    </row>
    <row r="38" spans="1:3" x14ac:dyDescent="0.25">
      <c r="A38" s="9" t="str">
        <v>Autres produits explosifs</v>
      </c>
      <c r="B38" s="204">
        <v>-7.5698757763976721E-3</v>
      </c>
      <c r="C38" s="204">
        <v>0.16054267947993206</v>
      </c>
    </row>
    <row r="39" spans="1:3" x14ac:dyDescent="0.25">
      <c r="A39" s="9" t="str">
        <v>Acier pour la construction</v>
      </c>
      <c r="B39" s="204">
        <v>-2.1750524109014679E-2</v>
      </c>
      <c r="C39" s="204">
        <v>0.28438962143768598</v>
      </c>
    </row>
    <row r="40" spans="1:3" x14ac:dyDescent="0.25">
      <c r="A40" s="9" t="str">
        <v>Gazole</v>
      </c>
      <c r="B40" s="204">
        <v>-4.0537550043253434E-2</v>
      </c>
      <c r="C40" s="204">
        <v>0.14277836442567171</v>
      </c>
    </row>
    <row r="41" spans="1:3" x14ac:dyDescent="0.25">
      <c r="A41" s="9" t="str">
        <v>Matières plastiques sous formes primaires</v>
      </c>
      <c r="B41" s="204">
        <v>-4.3709616115545469E-2</v>
      </c>
      <c r="C41" s="204">
        <v>0.13808734107241571</v>
      </c>
    </row>
    <row r="42" spans="1:3" x14ac:dyDescent="0.25">
      <c r="A42" s="9" t="str">
        <v>Produits sidérurgiques en acier non allié</v>
      </c>
      <c r="B42" s="204">
        <v>-5.0373134328358105E-2</v>
      </c>
      <c r="C42" s="204">
        <v>0.17319861196162489</v>
      </c>
    </row>
    <row r="43" spans="1:3" x14ac:dyDescent="0.25">
      <c r="A43" s="9" t="str">
        <v>GNR</v>
      </c>
      <c r="B43" s="204">
        <v>-5.712849723571789E-2</v>
      </c>
      <c r="C43" s="204">
        <v>0.179321999161556</v>
      </c>
    </row>
    <row r="44" spans="1:3" x14ac:dyDescent="0.25">
      <c r="A44" s="9" t="str">
        <v>Gazole routier HTT</v>
      </c>
      <c r="B44" s="204">
        <v>-7.3568486780922204E-2</v>
      </c>
      <c r="C44" s="204">
        <v>0.24151290723061747</v>
      </c>
    </row>
    <row r="45" spans="1:3" x14ac:dyDescent="0.25">
      <c r="A45" s="9" t="str">
        <v>Barres crénelées ou nervurées pour béton armé</v>
      </c>
      <c r="B45" s="204">
        <v>-7.5882504509147242E-2</v>
      </c>
      <c r="C45" s="204">
        <v>0.26236159242667578</v>
      </c>
    </row>
    <row r="46" spans="1:3" x14ac:dyDescent="0.25">
      <c r="A46" s="9" t="str">
        <v>Collecte, traitement et élimination des déchets ; récupération de matériaux</v>
      </c>
      <c r="B46" s="204">
        <v>-7.7086781745093313E-2</v>
      </c>
      <c r="C46" s="204">
        <v>7.4666314259283828E-2</v>
      </c>
    </row>
    <row r="47" spans="1:3" x14ac:dyDescent="0.25">
      <c r="A47" s="9" t="str">
        <v>Bitume</v>
      </c>
      <c r="B47" s="204">
        <v>-0.12173117154811708</v>
      </c>
      <c r="C47" s="204">
        <v>0.24652898299201653</v>
      </c>
    </row>
    <row r="48" spans="1:3" x14ac:dyDescent="0.25">
      <c r="A48" s="9" t="str">
        <v>Électricité vendue aux entreprises consommatrices finales</v>
      </c>
      <c r="B48" s="204">
        <v>-0.12578012481997114</v>
      </c>
      <c r="C48" s="204">
        <v>-9.3673824724318289E-2</v>
      </c>
    </row>
    <row r="52" spans="1:4" s="237" customFormat="1" x14ac:dyDescent="0.25">
      <c r="A52" s="60" t="s">
        <v>301</v>
      </c>
    </row>
    <row r="53" spans="1:4" s="237" customFormat="1" x14ac:dyDescent="0.25">
      <c r="A53" s="60" t="s">
        <v>302</v>
      </c>
    </row>
    <row r="54" spans="1:4" x14ac:dyDescent="0.25">
      <c r="A54" s="232"/>
    </row>
    <row r="55" spans="1:4" x14ac:dyDescent="0.25">
      <c r="A55" s="237"/>
      <c r="B55" s="237"/>
      <c r="C55" s="237"/>
      <c r="D55" s="237"/>
    </row>
    <row r="56" spans="1:4" x14ac:dyDescent="0.25">
      <c r="A56" s="237"/>
      <c r="B56" s="237"/>
      <c r="C56" s="237"/>
      <c r="D56" s="237"/>
    </row>
    <row r="57" spans="1:4" x14ac:dyDescent="0.25">
      <c r="A57" s="237"/>
      <c r="B57" s="237"/>
      <c r="C57" s="237"/>
      <c r="D57" s="237"/>
    </row>
    <row r="58" spans="1:4" x14ac:dyDescent="0.25">
      <c r="A58" s="237"/>
      <c r="B58" s="237"/>
      <c r="C58" s="237"/>
      <c r="D58" s="237"/>
    </row>
    <row r="59" spans="1:4" x14ac:dyDescent="0.25">
      <c r="A59" s="237"/>
      <c r="B59" s="237"/>
      <c r="C59" s="237"/>
      <c r="D59" s="237"/>
    </row>
  </sheetData>
  <conditionalFormatting sqref="B8:C48">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topLeftCell="A16" workbookViewId="0">
      <selection activeCell="J45" sqref="J45"/>
    </sheetView>
  </sheetViews>
  <sheetFormatPr baseColWidth="10" defaultColWidth="11.42578125" defaultRowHeight="15" x14ac:dyDescent="0.25"/>
  <cols>
    <col min="1" max="1" width="11.42578125" style="166"/>
    <col min="2" max="2" width="48.7109375" style="166" bestFit="1" customWidth="1"/>
    <col min="3" max="16384" width="11.42578125" style="166"/>
  </cols>
  <sheetData>
    <row r="1" spans="1:4" x14ac:dyDescent="0.25">
      <c r="A1" s="169"/>
      <c r="B1" s="276" t="s">
        <v>246</v>
      </c>
      <c r="C1" s="276"/>
      <c r="D1" s="156"/>
    </row>
    <row r="2" spans="1:4" x14ac:dyDescent="0.25">
      <c r="A2" s="165"/>
      <c r="B2" s="165"/>
      <c r="C2" s="165"/>
      <c r="D2" s="165"/>
    </row>
    <row r="3" spans="1:4" x14ac:dyDescent="0.25">
      <c r="A3" s="165"/>
      <c r="B3" s="165"/>
      <c r="C3" s="165"/>
      <c r="D3" s="165"/>
    </row>
    <row r="4" spans="1:4" x14ac:dyDescent="0.25">
      <c r="A4" s="164"/>
      <c r="B4" s="165"/>
      <c r="C4" s="165"/>
      <c r="D4" s="164"/>
    </row>
    <row r="5" spans="1:4" x14ac:dyDescent="0.25">
      <c r="A5" s="265" t="s">
        <v>247</v>
      </c>
      <c r="B5" s="265"/>
      <c r="C5" s="265"/>
      <c r="D5" s="265"/>
    </row>
    <row r="6" spans="1:4" x14ac:dyDescent="0.25">
      <c r="A6" s="265"/>
      <c r="B6" s="265"/>
      <c r="C6" s="265"/>
      <c r="D6" s="265"/>
    </row>
    <row r="7" spans="1:4" ht="18" customHeight="1" x14ac:dyDescent="0.25">
      <c r="A7" s="265"/>
      <c r="B7" s="265"/>
      <c r="C7" s="265"/>
      <c r="D7" s="265"/>
    </row>
    <row r="8" spans="1:4" x14ac:dyDescent="0.25">
      <c r="A8" s="270" t="str">
        <f>"Cette édition porte sur les données de "&amp;TEXT(DATE3,"mmmmmmmm aaaa")&amp;". A partir de mai 2022, les index TP sont publiés avec un décalage de 45 jours."</f>
        <v>Cette édition porte sur les données de septembre 2022. A partir de mai 2022, les index TP sont publiés avec un décalage de 45 jours.</v>
      </c>
      <c r="B8" s="270"/>
      <c r="C8" s="270"/>
      <c r="D8" s="270"/>
    </row>
    <row r="9" spans="1:4" x14ac:dyDescent="0.25">
      <c r="A9" s="270"/>
      <c r="B9" s="270"/>
      <c r="C9" s="270"/>
      <c r="D9" s="270"/>
    </row>
    <row r="10" spans="1:4" x14ac:dyDescent="0.25">
      <c r="A10" s="270" t="s">
        <v>248</v>
      </c>
      <c r="B10" s="270"/>
      <c r="C10" s="270"/>
      <c r="D10" s="270"/>
    </row>
    <row r="11" spans="1:4" x14ac:dyDescent="0.25">
      <c r="A11" s="270"/>
      <c r="B11" s="270"/>
      <c r="C11" s="270"/>
      <c r="D11" s="270"/>
    </row>
    <row r="12" spans="1:4" x14ac:dyDescent="0.25">
      <c r="A12" s="160"/>
      <c r="B12" s="160"/>
      <c r="C12" s="160"/>
      <c r="D12" s="160"/>
    </row>
    <row r="13" spans="1:4" x14ac:dyDescent="0.25">
      <c r="A13" s="167" t="s">
        <v>249</v>
      </c>
      <c r="B13" s="165"/>
      <c r="C13" s="164"/>
      <c r="D13" s="165"/>
    </row>
    <row r="14" spans="1:4" x14ac:dyDescent="0.25">
      <c r="A14" s="165"/>
      <c r="B14" s="164"/>
      <c r="C14" s="164"/>
      <c r="D14" s="165"/>
    </row>
    <row r="15" spans="1:4" x14ac:dyDescent="0.25">
      <c r="A15" s="279" t="s">
        <v>250</v>
      </c>
      <c r="B15" s="279"/>
      <c r="C15" s="279"/>
      <c r="D15" s="279"/>
    </row>
    <row r="16" spans="1:4" x14ac:dyDescent="0.25">
      <c r="A16" s="168"/>
      <c r="B16" s="165"/>
      <c r="C16" s="165"/>
      <c r="D16" s="165"/>
    </row>
    <row r="17" spans="1:4" x14ac:dyDescent="0.25">
      <c r="A17" s="278" t="s">
        <v>251</v>
      </c>
      <c r="B17" s="278"/>
      <c r="C17" s="165"/>
      <c r="D17" s="165"/>
    </row>
    <row r="18" spans="1:4" x14ac:dyDescent="0.25">
      <c r="A18" s="278"/>
      <c r="B18" s="278"/>
      <c r="C18" s="165"/>
      <c r="D18" s="165"/>
    </row>
    <row r="19" spans="1:4" x14ac:dyDescent="0.25">
      <c r="A19" s="165"/>
      <c r="B19" s="165"/>
      <c r="C19" s="165"/>
      <c r="D19" s="165"/>
    </row>
    <row r="20" spans="1:4" x14ac:dyDescent="0.25">
      <c r="A20" s="165"/>
      <c r="B20" s="165"/>
      <c r="C20" s="165"/>
      <c r="D20" s="165"/>
    </row>
    <row r="21" spans="1:4" x14ac:dyDescent="0.25">
      <c r="A21" s="278" t="s">
        <v>252</v>
      </c>
      <c r="B21" s="278"/>
      <c r="C21" s="165"/>
      <c r="D21" s="165"/>
    </row>
    <row r="22" spans="1:4" x14ac:dyDescent="0.25">
      <c r="A22" s="278"/>
      <c r="B22" s="278"/>
      <c r="C22" s="165"/>
      <c r="D22" s="165"/>
    </row>
    <row r="23" spans="1:4" x14ac:dyDescent="0.25">
      <c r="A23" s="270"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01/09/2022</v>
      </c>
      <c r="B23" s="270"/>
      <c r="C23" s="165"/>
      <c r="D23" s="165"/>
    </row>
    <row r="24" spans="1:4" x14ac:dyDescent="0.25">
      <c r="A24" s="270"/>
      <c r="B24" s="270"/>
      <c r="C24" s="165"/>
      <c r="D24" s="165"/>
    </row>
    <row r="25" spans="1:4" x14ac:dyDescent="0.25">
      <c r="A25" s="165"/>
      <c r="B25" s="165"/>
      <c r="C25" s="165"/>
      <c r="D25" s="165"/>
    </row>
    <row r="26" spans="1:4" x14ac:dyDescent="0.25">
      <c r="A26" s="165"/>
      <c r="B26" s="165"/>
      <c r="C26" s="165"/>
      <c r="D26" s="165"/>
    </row>
    <row r="27" spans="1:4" x14ac:dyDescent="0.25">
      <c r="A27" s="280" t="s">
        <v>253</v>
      </c>
      <c r="B27" s="280"/>
      <c r="C27" s="165"/>
      <c r="D27" s="165"/>
    </row>
    <row r="28" spans="1:4" x14ac:dyDescent="0.25">
      <c r="A28" s="280"/>
      <c r="B28" s="280"/>
      <c r="C28" s="165"/>
      <c r="D28" s="165"/>
    </row>
    <row r="29" spans="1:4" x14ac:dyDescent="0.25">
      <c r="A29" s="280"/>
      <c r="B29" s="280"/>
      <c r="C29" s="165"/>
      <c r="D29" s="165"/>
    </row>
    <row r="30" spans="1:4" x14ac:dyDescent="0.25">
      <c r="A30" s="280"/>
      <c r="B30" s="280"/>
      <c r="C30" s="165"/>
      <c r="D30" s="165"/>
    </row>
    <row r="31" spans="1:4" x14ac:dyDescent="0.25">
      <c r="A31" s="280" t="s">
        <v>254</v>
      </c>
      <c r="B31" s="280"/>
      <c r="C31" s="165"/>
      <c r="D31" s="165"/>
    </row>
    <row r="32" spans="1:4" x14ac:dyDescent="0.25">
      <c r="A32" s="280"/>
      <c r="B32" s="280"/>
      <c r="C32" s="165"/>
      <c r="D32" s="165"/>
    </row>
    <row r="33" spans="1:4" x14ac:dyDescent="0.25">
      <c r="A33" s="280"/>
      <c r="B33" s="280"/>
      <c r="C33" s="165"/>
      <c r="D33" s="165"/>
    </row>
    <row r="34" spans="1:4" x14ac:dyDescent="0.25">
      <c r="A34" s="280"/>
      <c r="B34" s="280"/>
      <c r="C34" s="165"/>
      <c r="D34" s="165"/>
    </row>
    <row r="35" spans="1:4" x14ac:dyDescent="0.25">
      <c r="A35" s="280"/>
      <c r="B35" s="280"/>
      <c r="C35" s="165"/>
      <c r="D35" s="165"/>
    </row>
    <row r="36" spans="1:4" ht="15" customHeight="1" x14ac:dyDescent="0.25">
      <c r="A36" s="280" t="s">
        <v>255</v>
      </c>
      <c r="B36" s="280"/>
      <c r="C36" s="165"/>
      <c r="D36" s="165"/>
    </row>
    <row r="37" spans="1:4" x14ac:dyDescent="0.25">
      <c r="A37" s="280"/>
      <c r="B37" s="280"/>
      <c r="C37" s="165"/>
      <c r="D37" s="165"/>
    </row>
    <row r="38" spans="1:4" x14ac:dyDescent="0.25">
      <c r="A38" s="280"/>
      <c r="B38" s="280"/>
      <c r="C38" s="165"/>
      <c r="D38" s="165"/>
    </row>
  </sheetData>
  <mergeCells count="11">
    <mergeCell ref="A21:B22"/>
    <mergeCell ref="A23:B24"/>
    <mergeCell ref="A27:B30"/>
    <mergeCell ref="A31:B35"/>
    <mergeCell ref="A36:B38"/>
    <mergeCell ref="A17:B18"/>
    <mergeCell ref="B1:C1"/>
    <mergeCell ref="A5:D7"/>
    <mergeCell ref="A8:D9"/>
    <mergeCell ref="A10:D11"/>
    <mergeCell ref="A15:D15"/>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R58"/>
  <sheetViews>
    <sheetView showGridLines="0" topLeftCell="A16" zoomScale="90" zoomScaleNormal="90" workbookViewId="0">
      <selection activeCell="P15" sqref="P15"/>
    </sheetView>
  </sheetViews>
  <sheetFormatPr baseColWidth="10" defaultRowHeight="15" x14ac:dyDescent="0.25"/>
  <sheetData>
    <row r="1" spans="1:16" x14ac:dyDescent="0.25">
      <c r="A1" s="271" t="s">
        <v>199</v>
      </c>
      <c r="B1" s="271"/>
      <c r="C1" s="271"/>
      <c r="D1" s="271"/>
      <c r="E1" s="271"/>
      <c r="F1" s="271"/>
      <c r="G1" s="271"/>
      <c r="H1" s="271"/>
      <c r="I1" s="271"/>
      <c r="J1" s="271"/>
      <c r="K1" s="271"/>
      <c r="L1" s="271"/>
      <c r="M1" s="271"/>
      <c r="N1" s="271"/>
      <c r="O1" s="271"/>
    </row>
    <row r="2" spans="1:16" x14ac:dyDescent="0.25">
      <c r="A2" s="12"/>
      <c r="B2" s="13"/>
      <c r="C2" s="13"/>
      <c r="D2" s="13"/>
      <c r="E2" s="13"/>
      <c r="F2" s="13"/>
      <c r="G2" s="13"/>
      <c r="H2" s="13"/>
      <c r="I2" s="13"/>
      <c r="J2" s="13"/>
      <c r="K2" s="12"/>
      <c r="L2" s="12"/>
      <c r="M2" s="12"/>
      <c r="N2" s="12"/>
    </row>
    <row r="3" spans="1:16" x14ac:dyDescent="0.25">
      <c r="A3" s="61" t="s">
        <v>181</v>
      </c>
      <c r="B3" s="62" t="s">
        <v>25</v>
      </c>
      <c r="C3" s="12"/>
      <c r="D3" s="277" t="str">
        <f>B3&amp;" - "&amp;VLOOKUP(B3,'NOMS INDEX'!A1:B23,2,FALSE)</f>
        <v>TP02 - Travaux de génie civil et d’ouvrages d’art neufs ou rénovation</v>
      </c>
      <c r="E3" s="277"/>
      <c r="F3" s="277"/>
      <c r="G3" s="277"/>
      <c r="H3" s="277"/>
      <c r="I3" s="277"/>
      <c r="J3" s="277"/>
      <c r="K3" s="277"/>
      <c r="L3" s="277"/>
      <c r="N3" s="282" t="s">
        <v>200</v>
      </c>
      <c r="O3" s="152">
        <v>43101</v>
      </c>
    </row>
    <row r="4" spans="1:16" x14ac:dyDescent="0.25">
      <c r="A4" s="12"/>
      <c r="B4" s="12"/>
      <c r="C4" s="12"/>
      <c r="D4" s="12"/>
      <c r="E4" s="12"/>
      <c r="F4" s="12"/>
      <c r="G4" s="12"/>
      <c r="H4" s="12"/>
      <c r="I4" s="12"/>
      <c r="J4" s="12"/>
      <c r="K4" s="12"/>
      <c r="N4" s="282"/>
      <c r="O4" s="152">
        <v>44805</v>
      </c>
    </row>
    <row r="5" spans="1:16" x14ac:dyDescent="0.25">
      <c r="A5" s="63"/>
      <c r="B5" s="63"/>
      <c r="C5" s="63"/>
      <c r="D5" s="63"/>
      <c r="E5" s="63"/>
      <c r="F5" s="12"/>
      <c r="G5" s="64"/>
      <c r="H5" s="64"/>
      <c r="I5" s="12"/>
      <c r="J5" s="12"/>
      <c r="K5" s="12"/>
      <c r="L5" s="12"/>
      <c r="M5" s="12"/>
      <c r="N5" s="12"/>
    </row>
    <row r="6" spans="1:16" x14ac:dyDescent="0.25">
      <c r="A6" s="47" t="str">
        <f>"Evolution du TP01 et du "&amp;B3</f>
        <v>Evolution du TP01 et du TP02</v>
      </c>
      <c r="B6" s="47"/>
      <c r="C6" s="47"/>
      <c r="D6" s="47"/>
      <c r="E6" s="47"/>
      <c r="F6" s="47"/>
      <c r="G6" s="65"/>
      <c r="H6" s="65"/>
      <c r="I6" s="65"/>
      <c r="J6" s="12"/>
      <c r="K6" s="276" t="str">
        <f>"Composition globale du "&amp;B3</f>
        <v>Composition globale du TP02</v>
      </c>
      <c r="L6" s="276"/>
      <c r="M6" s="276"/>
      <c r="N6" s="276"/>
      <c r="O6" s="276"/>
    </row>
    <row r="7" spans="1:16" x14ac:dyDescent="0.25">
      <c r="A7" s="12"/>
      <c r="B7" s="12"/>
      <c r="C7" s="12"/>
      <c r="D7" s="12"/>
      <c r="E7" s="12"/>
      <c r="F7" s="12"/>
      <c r="G7" s="64"/>
      <c r="H7" s="64"/>
      <c r="I7" s="64"/>
      <c r="J7" s="12"/>
      <c r="K7" s="12"/>
      <c r="L7" s="12"/>
      <c r="M7" s="12"/>
      <c r="N7" s="12"/>
    </row>
    <row r="8" spans="1:16" x14ac:dyDescent="0.25">
      <c r="A8" s="66"/>
      <c r="B8" s="66"/>
      <c r="C8" s="66"/>
      <c r="D8" s="12"/>
      <c r="E8" s="12"/>
      <c r="F8" s="12"/>
      <c r="G8" s="283" t="str">
        <f>"Evolution entre "&amp;TEXT(DATE1,"mmm. aaaa")&amp;" et "&amp;TEXT(DATE2,"mmm. aaaa")</f>
        <v>Evolution entre janv. 2018 et sept. 2022</v>
      </c>
      <c r="H8" s="283"/>
      <c r="I8" s="283"/>
      <c r="J8" s="12"/>
      <c r="K8" s="12"/>
      <c r="L8" s="12"/>
      <c r="M8" s="12"/>
      <c r="N8" s="12"/>
    </row>
    <row r="9" spans="1:16" x14ac:dyDescent="0.25">
      <c r="A9" s="68"/>
      <c r="B9" s="69"/>
      <c r="C9" s="69"/>
      <c r="D9" s="12"/>
      <c r="E9" s="12"/>
      <c r="F9" s="12"/>
      <c r="G9" s="70" t="s">
        <v>24</v>
      </c>
      <c r="H9" s="71">
        <f>INDEX('DONNEES DATE A DATE'!U15:W37,MATCH(G9,'DONNEES DATE A DATE'!U15:U37,0),3)</f>
        <v>0.19664492078285201</v>
      </c>
      <c r="I9" s="12"/>
      <c r="J9" s="107"/>
      <c r="K9" s="12"/>
      <c r="L9" s="12"/>
      <c r="M9" s="12"/>
      <c r="N9" s="12"/>
    </row>
    <row r="10" spans="1:16" x14ac:dyDescent="0.25">
      <c r="A10" s="12"/>
      <c r="B10" s="12"/>
      <c r="C10" s="12"/>
      <c r="D10" s="12"/>
      <c r="E10" s="12"/>
      <c r="F10" s="12"/>
      <c r="G10" s="72" t="str">
        <f>B3</f>
        <v>TP02</v>
      </c>
      <c r="H10" s="73">
        <f>INDEX('DONNEES DATE A DATE'!U15:W37,MATCH(G10,'DONNEES DATE A DATE'!U15:U37,0),3)</f>
        <v>0.17715827338129508</v>
      </c>
      <c r="I10" s="12"/>
      <c r="J10" s="71"/>
      <c r="K10" s="12"/>
      <c r="L10" s="12"/>
      <c r="M10" s="12"/>
      <c r="N10" s="12"/>
    </row>
    <row r="11" spans="1:16" x14ac:dyDescent="0.25">
      <c r="A11" s="12"/>
      <c r="B11" s="12"/>
      <c r="C11" s="12"/>
      <c r="D11" s="12"/>
      <c r="E11" s="12"/>
      <c r="F11" s="12"/>
      <c r="G11" s="12"/>
      <c r="H11" s="12"/>
      <c r="I11" s="64"/>
      <c r="J11" s="73"/>
      <c r="K11" s="12"/>
      <c r="L11" s="12"/>
      <c r="M11" s="12"/>
      <c r="N11" s="12"/>
    </row>
    <row r="12" spans="1:16" x14ac:dyDescent="0.25">
      <c r="A12" s="12"/>
      <c r="B12" s="12"/>
      <c r="C12" s="12"/>
      <c r="D12" s="12"/>
      <c r="E12" s="12"/>
      <c r="F12" s="12"/>
      <c r="G12" s="271" t="str">
        <f>"Part du "&amp;B3&amp;" dans le TP01"</f>
        <v>Part du TP02 dans le TP01</v>
      </c>
      <c r="H12" s="271"/>
      <c r="I12" s="271"/>
      <c r="J12" s="12"/>
      <c r="K12" s="12"/>
      <c r="L12" s="12"/>
      <c r="M12" s="12"/>
      <c r="N12" s="12"/>
      <c r="P12" s="122"/>
    </row>
    <row r="13" spans="1:16" x14ac:dyDescent="0.25">
      <c r="A13" s="12"/>
      <c r="B13" s="12"/>
      <c r="C13" s="12"/>
      <c r="D13" s="12"/>
      <c r="E13" s="12"/>
      <c r="F13" s="12"/>
      <c r="G13" s="12"/>
      <c r="H13" s="12"/>
      <c r="I13" s="12"/>
      <c r="J13" s="12"/>
      <c r="K13" s="12"/>
      <c r="L13" s="12"/>
      <c r="M13" s="12"/>
      <c r="N13" s="12"/>
    </row>
    <row r="14" spans="1:16" x14ac:dyDescent="0.25">
      <c r="A14" s="12"/>
      <c r="B14" s="12"/>
      <c r="C14" s="12"/>
      <c r="D14" s="12"/>
      <c r="E14" s="12"/>
      <c r="F14" s="12"/>
      <c r="G14" s="12"/>
      <c r="H14" s="12"/>
      <c r="I14" s="12"/>
      <c r="J14" s="12"/>
      <c r="K14" s="12"/>
      <c r="L14" s="12"/>
      <c r="M14" s="12"/>
      <c r="N14" s="12"/>
    </row>
    <row r="15" spans="1:16" x14ac:dyDescent="0.25">
      <c r="A15" s="74"/>
      <c r="B15" s="12"/>
      <c r="C15" s="12"/>
      <c r="D15" s="12"/>
      <c r="E15" s="12"/>
      <c r="F15" s="12"/>
      <c r="G15" s="107"/>
      <c r="H15" s="12"/>
      <c r="I15" s="12"/>
      <c r="J15" s="12"/>
      <c r="K15" s="12"/>
      <c r="L15" s="12"/>
      <c r="M15" s="12"/>
      <c r="N15" s="12"/>
    </row>
    <row r="16" spans="1:16" x14ac:dyDescent="0.25">
      <c r="A16" s="12"/>
      <c r="B16" s="12"/>
      <c r="C16" s="12"/>
      <c r="D16" s="12"/>
      <c r="E16" s="12"/>
      <c r="F16" s="12"/>
      <c r="G16" s="71"/>
      <c r="H16" s="12"/>
      <c r="I16" s="12"/>
      <c r="J16" s="12"/>
      <c r="K16" s="12"/>
      <c r="L16" s="12"/>
      <c r="M16" s="12"/>
      <c r="N16" s="12"/>
    </row>
    <row r="17" spans="1:18" x14ac:dyDescent="0.25">
      <c r="A17" s="12"/>
      <c r="B17" s="12"/>
      <c r="C17" s="12"/>
      <c r="D17" s="12"/>
      <c r="E17" s="12"/>
      <c r="F17" s="12"/>
      <c r="G17" s="71"/>
      <c r="H17" s="12"/>
      <c r="I17" s="12"/>
      <c r="J17" s="12"/>
      <c r="K17" s="12"/>
      <c r="L17" s="12"/>
      <c r="M17" s="12"/>
      <c r="N17" s="12"/>
    </row>
    <row r="18" spans="1:18" x14ac:dyDescent="0.25">
      <c r="A18" s="276" t="s">
        <v>182</v>
      </c>
      <c r="B18" s="276"/>
      <c r="C18" s="276"/>
      <c r="D18" s="276"/>
      <c r="E18" s="276"/>
      <c r="F18" s="276"/>
      <c r="G18" s="276"/>
      <c r="H18" s="276"/>
      <c r="I18" s="276"/>
      <c r="J18" s="276"/>
      <c r="K18" s="276"/>
      <c r="L18" s="276"/>
      <c r="M18" s="276"/>
      <c r="N18" s="276"/>
      <c r="O18" s="276"/>
    </row>
    <row r="19" spans="1:18" x14ac:dyDescent="0.25">
      <c r="A19" s="12"/>
      <c r="B19" s="12"/>
      <c r="C19" s="12"/>
      <c r="D19" s="12"/>
      <c r="E19" s="274" t="str">
        <f>B20</f>
        <v>Evolution entre janv. 2018 et sept. 2022</v>
      </c>
      <c r="F19" s="274"/>
      <c r="G19" s="274"/>
      <c r="H19" s="274"/>
      <c r="I19" s="12"/>
      <c r="J19" s="12"/>
      <c r="K19" s="12"/>
      <c r="L19" s="12"/>
      <c r="M19" s="12"/>
      <c r="N19" s="12"/>
    </row>
    <row r="20" spans="1:18" ht="24" x14ac:dyDescent="0.25">
      <c r="A20" s="75"/>
      <c r="B20" s="284" t="str">
        <f>"Evolution entre "&amp;TEXT(DATE1,"mmm. aaaa")&amp;" et "&amp;TEXT(DATE2,"mmm. aaaa")</f>
        <v>Evolution entre janv. 2018 et sept. 2022</v>
      </c>
      <c r="C20" s="284"/>
      <c r="D20" s="76" t="str">
        <f>"Part dans le "&amp;B3</f>
        <v>Part dans le TP02</v>
      </c>
      <c r="E20" s="12"/>
      <c r="F20" s="12"/>
      <c r="G20" s="12"/>
      <c r="H20" s="12"/>
      <c r="I20" s="12"/>
      <c r="J20" s="12"/>
      <c r="K20" s="12"/>
      <c r="L20" s="12"/>
      <c r="M20" s="12"/>
      <c r="N20" s="12"/>
    </row>
    <row r="21" spans="1:18" x14ac:dyDescent="0.25">
      <c r="A21" s="77" t="s">
        <v>134</v>
      </c>
      <c r="B21" s="285">
        <f>INDEX('DONNEES DATE A DATE'!R15:S55,MATCH(A21,'DONNEES DATE A DATE'!R15:R55,0),2)</f>
        <v>0.12487992315081642</v>
      </c>
      <c r="C21" s="285"/>
      <c r="D21" s="79">
        <f>INDEX(compo_index,MATCH(B3,'COMPOSITION INDEX'!A1:A26,0),MATCH(A21,'COMPOSITION INDEX'!A2:AR2,0))</f>
        <v>0.15</v>
      </c>
      <c r="E21" s="12"/>
      <c r="F21" s="12"/>
      <c r="G21" s="12"/>
      <c r="H21" s="12"/>
      <c r="I21" s="12"/>
      <c r="J21" s="12"/>
      <c r="K21" s="12"/>
      <c r="L21" s="12"/>
      <c r="M21" s="12"/>
      <c r="N21" s="12"/>
    </row>
    <row r="22" spans="1:18" x14ac:dyDescent="0.25">
      <c r="A22" s="77" t="s">
        <v>135</v>
      </c>
      <c r="B22" s="281">
        <f>INDEX('DONNEES DATE A DATE'!R15:S55,MATCH(A22,'DONNEES DATE A DATE'!R15:R55,0),2)</f>
        <v>5.0084889643463582E-2</v>
      </c>
      <c r="C22" s="281"/>
      <c r="D22" s="79">
        <f>INDEX(compo_index,MATCH(B3,'COMPOSITION INDEX'!A1:A26,0),MATCH(A22,'COMPOSITION INDEX'!A2:AR2,0))</f>
        <v>0.55000000000000004</v>
      </c>
      <c r="E22" s="12"/>
      <c r="F22" s="12"/>
      <c r="G22" s="12"/>
      <c r="H22" s="12"/>
      <c r="I22" s="12"/>
      <c r="J22" s="12"/>
      <c r="K22" s="12"/>
      <c r="L22" s="12"/>
      <c r="M22" s="12"/>
      <c r="N22" s="12"/>
    </row>
    <row r="23" spans="1:18" x14ac:dyDescent="0.25">
      <c r="A23" s="80" t="s">
        <v>137</v>
      </c>
      <c r="B23" s="281">
        <f>INDEX('DONNEES DATE A DATE'!R15:S55,MATCH(A23,'DONNEES DATE A DATE'!R15:R55,0),2)</f>
        <v>0.33787726901378567</v>
      </c>
      <c r="C23" s="281"/>
      <c r="D23" s="79">
        <f>INDEX(compo_index,MATCH(B3,'COMPOSITION INDEX'!A1:A26,0),MATCH(A23,'COMPOSITION INDEX'!A2:AR2,0))</f>
        <v>0</v>
      </c>
      <c r="E23" s="12"/>
      <c r="F23" s="12"/>
      <c r="G23" s="12"/>
      <c r="H23" s="12"/>
      <c r="I23" s="12"/>
      <c r="J23" s="12"/>
      <c r="K23" s="12"/>
      <c r="L23" s="12"/>
      <c r="M23" s="12"/>
      <c r="N23" s="12"/>
    </row>
    <row r="24" spans="1:18" x14ac:dyDescent="0.25">
      <c r="A24" s="77" t="s">
        <v>138</v>
      </c>
      <c r="B24" s="281">
        <f>INDEX('DONNEES DATE A DATE'!R15:S55,MATCH(A24,'DONNEES DATE A DATE'!R15:R55,0),2)</f>
        <v>0.23361372532689284</v>
      </c>
      <c r="C24" s="281"/>
      <c r="D24" s="79">
        <f>INDEX(compo_index,MATCH(B3,'COMPOSITION INDEX'!A1:A26,0),MATCH(A24,'COMPOSITION INDEX'!A2:AR2,0))</f>
        <v>0</v>
      </c>
      <c r="E24" s="12"/>
      <c r="F24" s="69"/>
      <c r="G24" s="12"/>
      <c r="H24" s="12"/>
      <c r="I24" s="12"/>
      <c r="J24" s="12"/>
      <c r="K24" s="12"/>
      <c r="L24" s="12"/>
      <c r="M24" s="12"/>
      <c r="N24" s="12"/>
    </row>
    <row r="25" spans="1:18" x14ac:dyDescent="0.25">
      <c r="A25" s="80" t="s">
        <v>139</v>
      </c>
      <c r="B25" s="281">
        <f>INDEX('DONNEES DATE A DATE'!R15:S55,MATCH(A25,'DONNEES DATE A DATE'!R15:R55,0),2)</f>
        <v>0.11133004926108381</v>
      </c>
      <c r="C25" s="281"/>
      <c r="D25" s="79">
        <f>INDEX(compo_index,MATCH(B3,'COMPOSITION INDEX'!A1:A26,0),MATCH(A25,'COMPOSITION INDEX'!A2:AR2,0))</f>
        <v>0.01</v>
      </c>
      <c r="E25" s="12"/>
      <c r="F25" s="81"/>
      <c r="G25" s="12"/>
      <c r="H25" s="12"/>
      <c r="I25" s="12"/>
      <c r="J25" s="12"/>
      <c r="K25" s="12"/>
      <c r="L25" s="12"/>
      <c r="M25" s="12"/>
      <c r="N25" s="12"/>
    </row>
    <row r="26" spans="1:18" x14ac:dyDescent="0.25">
      <c r="A26" s="80" t="s">
        <v>183</v>
      </c>
      <c r="B26" s="286">
        <f>INDEX('DONNEES DATE A DATE'!R15:S55,MATCH('DONNEES DATE A DATE'!L21,'DONNEES DATE A DATE'!R15:R55,0),2)</f>
        <v>9.0356211989574442E-2</v>
      </c>
      <c r="C26" s="286"/>
      <c r="D26" s="79">
        <f>INDEX(compo_index,MATCH(B3,'COMPOSITION INDEX'!A1:A26,0),MATCH('DONNEES DATE A DATE'!I10,'COMPOSITION INDEX'!A2:AR2,0))</f>
        <v>0.01</v>
      </c>
      <c r="E26" s="12"/>
      <c r="F26" s="12"/>
      <c r="G26" s="12"/>
      <c r="H26" s="12"/>
      <c r="I26" s="12"/>
      <c r="J26" s="12"/>
      <c r="K26" s="12"/>
      <c r="L26" s="12"/>
      <c r="M26" s="12"/>
      <c r="N26" s="12"/>
    </row>
    <row r="27" spans="1:18" x14ac:dyDescent="0.25">
      <c r="A27" s="82" t="s">
        <v>184</v>
      </c>
      <c r="B27" s="128"/>
      <c r="C27" s="129"/>
      <c r="D27" s="85">
        <f>SUM(D21:D26)</f>
        <v>0.72000000000000008</v>
      </c>
      <c r="E27" s="12"/>
      <c r="F27" s="12"/>
      <c r="G27" s="12"/>
      <c r="H27" s="12"/>
      <c r="I27" s="12"/>
      <c r="J27" s="12"/>
      <c r="K27" s="12"/>
      <c r="L27" s="12"/>
      <c r="M27" s="12"/>
      <c r="N27" s="12"/>
    </row>
    <row r="28" spans="1:18" x14ac:dyDescent="0.25">
      <c r="A28" s="12"/>
      <c r="B28" s="12"/>
      <c r="C28" s="12"/>
      <c r="D28" s="12"/>
      <c r="E28" s="12"/>
      <c r="F28" s="12"/>
      <c r="G28" s="12"/>
      <c r="H28" s="12"/>
      <c r="I28" s="12"/>
      <c r="J28" s="12"/>
      <c r="K28" s="12"/>
      <c r="L28" s="12"/>
      <c r="M28" s="12"/>
      <c r="N28" s="12"/>
    </row>
    <row r="29" spans="1:18" x14ac:dyDescent="0.25">
      <c r="A29" s="86" t="s">
        <v>198</v>
      </c>
      <c r="B29" s="12"/>
      <c r="C29" s="12"/>
      <c r="D29" s="12"/>
      <c r="E29" s="12"/>
      <c r="F29" s="12"/>
      <c r="G29" s="12"/>
      <c r="H29" s="12"/>
      <c r="I29" s="12"/>
      <c r="J29" s="12"/>
      <c r="K29" s="109"/>
      <c r="L29" s="12"/>
      <c r="M29" s="12"/>
      <c r="N29" s="12"/>
    </row>
    <row r="30" spans="1:18" x14ac:dyDescent="0.25">
      <c r="A30" s="276" t="str">
        <f>"Evolution des indices spécifiques au "&amp;B3</f>
        <v>Evolution des indices spécifiques au TP02</v>
      </c>
      <c r="B30" s="276"/>
      <c r="C30" s="276"/>
      <c r="D30" s="276"/>
      <c r="E30" s="276"/>
      <c r="F30" s="276"/>
      <c r="G30" s="276"/>
      <c r="H30" s="276"/>
      <c r="I30" s="276"/>
      <c r="J30" s="276"/>
      <c r="K30" s="276"/>
      <c r="L30" s="276"/>
      <c r="M30" s="276"/>
      <c r="N30" s="276"/>
      <c r="O30" s="276"/>
    </row>
    <row r="31" spans="1:18" ht="24" x14ac:dyDescent="0.25">
      <c r="A31" s="273" t="s">
        <v>198</v>
      </c>
      <c r="B31" s="273"/>
      <c r="C31" s="273"/>
      <c r="D31" s="273"/>
      <c r="E31" s="273"/>
      <c r="F31" s="273"/>
      <c r="G31" s="287" t="str">
        <f>"Evolution entre "&amp;TEXT(DATE1,"mmm. aaaa")&amp;" et "&amp;TEXT(DATE2,"mmm. aaaa")</f>
        <v>Evolution entre janv. 2018 et sept. 2022</v>
      </c>
      <c r="H31" s="287"/>
      <c r="I31" s="87" t="str">
        <f>"Part dans le "&amp;B3</f>
        <v>Part dans le TP02</v>
      </c>
      <c r="J31" s="12"/>
      <c r="K31" s="12"/>
      <c r="L31" s="12"/>
      <c r="M31" s="12"/>
      <c r="N31" s="88"/>
    </row>
    <row r="32" spans="1:18" x14ac:dyDescent="0.25">
      <c r="A32" s="89" t="str">
        <f>IF(('DONNEES DATE A DATE'!O15&lt;&gt;0)*(O15&lt;&gt;A21),'DONNEES DATE A DATE'!N15,"")</f>
        <v>Travail</v>
      </c>
      <c r="B32" s="12"/>
      <c r="C32" s="12"/>
      <c r="D32" s="12"/>
      <c r="E32" s="12"/>
      <c r="F32" s="12"/>
      <c r="G32" s="281">
        <f>IF('DONNEES DATE A DATE'!O15&lt;&gt;0,VLOOKUP('DONNEES DATE A DATE'!N15,'DONNEES DATE A DATE'!$R$15:$S$55,2,FALSE),"")</f>
        <v>5.0084889643463582E-2</v>
      </c>
      <c r="H32" s="281"/>
      <c r="I32" s="196">
        <f>IF('DONNEES DATE A DATE'!O15&lt;&gt;0,'DONNEES DATE A DATE'!O15,"")</f>
        <v>0.55000000000000004</v>
      </c>
      <c r="J32" s="12"/>
      <c r="K32" s="12"/>
      <c r="L32" s="12"/>
      <c r="M32" s="12"/>
      <c r="N32" s="12"/>
      <c r="R32" s="121"/>
    </row>
    <row r="33" spans="1:18" x14ac:dyDescent="0.25">
      <c r="A33" s="89" t="str">
        <f>IF('DONNEES DATE A DATE'!O16&lt;&gt;0,'DONNEES DATE A DATE'!N16,"")</f>
        <v>Matériel</v>
      </c>
      <c r="B33" s="12"/>
      <c r="C33" s="12"/>
      <c r="D33" s="12"/>
      <c r="E33" s="12"/>
      <c r="F33" s="12"/>
      <c r="G33" s="281">
        <f>IF('DONNEES DATE A DATE'!O16&lt;&gt;0,VLOOKUP('DONNEES DATE A DATE'!N16,'DONNEES DATE A DATE'!$R$15:$S$55,2,FALSE),"")</f>
        <v>0.12487992315081642</v>
      </c>
      <c r="H33" s="281"/>
      <c r="I33" s="196">
        <f>IF('DONNEES DATE A DATE'!O16&lt;&gt;0,'DONNEES DATE A DATE'!O16,"")</f>
        <v>0.15</v>
      </c>
      <c r="J33" s="12"/>
      <c r="K33" s="12"/>
      <c r="L33" s="12"/>
      <c r="M33" s="12"/>
      <c r="N33" s="12"/>
      <c r="P33" s="121"/>
      <c r="R33" s="121"/>
    </row>
    <row r="34" spans="1:18" x14ac:dyDescent="0.25">
      <c r="A34" s="89" t="str">
        <f>IF('DONNEES DATE A DATE'!O17&lt;&gt;0,'DONNEES DATE A DATE'!N17,"")</f>
        <v>Béton prêt à l'emploi</v>
      </c>
      <c r="B34" s="12"/>
      <c r="C34" s="12"/>
      <c r="D34" s="12"/>
      <c r="E34" s="12"/>
      <c r="F34" s="12"/>
      <c r="G34" s="281">
        <f>IF('DONNEES DATE A DATE'!O17&lt;&gt;0,VLOOKUP('DONNEES DATE A DATE'!N17,'DONNEES DATE A DATE'!$R$15:$S$55,2,FALSE),"")</f>
        <v>0.15060240963855431</v>
      </c>
      <c r="H34" s="281"/>
      <c r="I34" s="196">
        <f>IF('DONNEES DATE A DATE'!O17&lt;&gt;0,'DONNEES DATE A DATE'!O17,"")</f>
        <v>0.12</v>
      </c>
      <c r="J34" s="87"/>
      <c r="K34" s="12"/>
      <c r="L34" s="12"/>
      <c r="M34" s="12"/>
      <c r="N34" s="12"/>
    </row>
    <row r="35" spans="1:18" x14ac:dyDescent="0.25">
      <c r="A35" s="89" t="str">
        <f>IF('DONNEES DATE A DATE'!O18&lt;&gt;0,'DONNEES DATE A DATE'!N18,"")</f>
        <v>Barres crénelées ou nervurées pour béton armé</v>
      </c>
      <c r="B35" s="12"/>
      <c r="C35" s="12"/>
      <c r="D35" s="12"/>
      <c r="E35" s="12"/>
      <c r="F35" s="12"/>
      <c r="G35" s="281">
        <f>IF('DONNEES DATE A DATE'!O18&lt;&gt;0,VLOOKUP('DONNEES DATE A DATE'!N18,'DONNEES DATE A DATE'!$R$15:$S$55,2,FALSE),"")</f>
        <v>0.79342723004694826</v>
      </c>
      <c r="H35" s="281"/>
      <c r="I35" s="196">
        <f>IF('DONNEES DATE A DATE'!O18&lt;&gt;0,'DONNEES DATE A DATE'!O18,"")</f>
        <v>0.09</v>
      </c>
      <c r="J35" s="90"/>
      <c r="K35" s="87"/>
      <c r="L35" s="12"/>
      <c r="M35" s="12"/>
      <c r="N35" s="12"/>
    </row>
    <row r="36" spans="1:18" x14ac:dyDescent="0.25">
      <c r="A36" s="89" t="str">
        <f>IF('DONNEES DATE A DATE'!O19&lt;&gt;0,'DONNEES DATE A DATE'!N19,"")</f>
        <v>Tubes, tuyaux en matière plastique</v>
      </c>
      <c r="B36" s="12"/>
      <c r="C36" s="12"/>
      <c r="D36" s="12"/>
      <c r="E36" s="12"/>
      <c r="F36" s="12"/>
      <c r="G36" s="281">
        <f>IF('DONNEES DATE A DATE'!O19&lt;&gt;0,VLOOKUP('DONNEES DATE A DATE'!N19,'DONNEES DATE A DATE'!$R$15:$S$55,2,FALSE),"")</f>
        <v>0.37348178137651811</v>
      </c>
      <c r="H36" s="281"/>
      <c r="I36" s="196">
        <f>IF('DONNEES DATE A DATE'!O19&lt;&gt;0,'DONNEES DATE A DATE'!O19,"")</f>
        <v>0.04</v>
      </c>
      <c r="J36" s="90"/>
      <c r="K36" s="90"/>
      <c r="L36" s="12"/>
      <c r="M36" s="12"/>
      <c r="N36" s="12"/>
    </row>
    <row r="37" spans="1:18" x14ac:dyDescent="0.25">
      <c r="A37" s="89" t="str">
        <f>IF('DONNEES DATE A DATE'!O20&lt;&gt;0,'DONNEES DATE A DATE'!N20,"")</f>
        <v>Ensemble des produits du sciage</v>
      </c>
      <c r="B37" s="12"/>
      <c r="C37" s="12"/>
      <c r="D37" s="12"/>
      <c r="E37" s="12"/>
      <c r="F37" s="12"/>
      <c r="G37" s="281">
        <f>IF('DONNEES DATE A DATE'!O20&lt;&gt;0,VLOOKUP('DONNEES DATE A DATE'!N20,'DONNEES DATE A DATE'!$R$15:$S$55,2,FALSE),"")</f>
        <v>0.5093984962406013</v>
      </c>
      <c r="H37" s="281"/>
      <c r="I37" s="196">
        <f>IF('DONNEES DATE A DATE'!O20&lt;&gt;0,'DONNEES DATE A DATE'!O20,"")</f>
        <v>0.02</v>
      </c>
      <c r="J37" s="90"/>
      <c r="K37" s="90"/>
      <c r="L37" s="12"/>
      <c r="M37" s="12"/>
      <c r="N37" s="12"/>
    </row>
    <row r="38" spans="1:18" x14ac:dyDescent="0.25">
      <c r="A38" s="89" t="str">
        <f>IF('DONNEES DATE A DATE'!O21&lt;&gt;0,'DONNEES DATE A DATE'!N21,"")</f>
        <v>Frais divers</v>
      </c>
      <c r="B38" s="12"/>
      <c r="C38" s="12"/>
      <c r="D38" s="12"/>
      <c r="E38" s="12"/>
      <c r="F38" s="12"/>
      <c r="G38" s="281">
        <f>IF('DONNEES DATE A DATE'!O21&lt;&gt;0,VLOOKUP('DONNEES DATE A DATE'!N21,'DONNEES DATE A DATE'!$R$15:$S$55,2,FALSE),"")</f>
        <v>0.11133004926108381</v>
      </c>
      <c r="H38" s="281"/>
      <c r="I38" s="196">
        <f>IF('DONNEES DATE A DATE'!O21&lt;&gt;0,'DONNEES DATE A DATE'!O21,"")</f>
        <v>0.01</v>
      </c>
      <c r="J38" s="90"/>
      <c r="K38" s="90"/>
      <c r="L38" s="12"/>
      <c r="M38" s="12"/>
      <c r="N38" s="12"/>
    </row>
    <row r="39" spans="1:18" x14ac:dyDescent="0.25">
      <c r="A39" s="89" t="str">
        <f>IF('DONNEES DATE A DATE'!O22&lt;&gt;0,'DONNEES DATE A DATE'!N22,"")</f>
        <v>Transports routiers</v>
      </c>
      <c r="B39" s="12"/>
      <c r="C39" s="12"/>
      <c r="D39" s="12"/>
      <c r="E39" s="12"/>
      <c r="F39" s="12"/>
      <c r="G39" s="281">
        <f>IF('DONNEES DATE A DATE'!O22&lt;&gt;0,VLOOKUP('DONNEES DATE A DATE'!N22,'DONNEES DATE A DATE'!$R$15:$S$55,2,FALSE),"")</f>
        <v>0.10890151515151514</v>
      </c>
      <c r="H39" s="281"/>
      <c r="I39" s="196">
        <f>IF('DONNEES DATE A DATE'!O22&lt;&gt;0,'DONNEES DATE A DATE'!O22,"")</f>
        <v>0.01</v>
      </c>
      <c r="J39" s="90"/>
      <c r="K39" s="90"/>
      <c r="L39" s="12"/>
      <c r="M39" s="12"/>
      <c r="N39" s="12"/>
    </row>
    <row r="40" spans="1:18" x14ac:dyDescent="0.25">
      <c r="A40" s="89" t="str">
        <f>IF('DONNEES DATE A DATE'!O23&lt;&gt;0,'DONNEES DATE A DATE'!N23,"")</f>
        <v>Électricité vendue aux entreprises consommatrices finales</v>
      </c>
      <c r="B40" s="12"/>
      <c r="C40" s="12"/>
      <c r="D40" s="12"/>
      <c r="E40" s="12"/>
      <c r="F40" s="12"/>
      <c r="G40" s="281">
        <f>IF('DONNEES DATE A DATE'!O23&lt;&gt;0,VLOOKUP('DONNEES DATE A DATE'!N23,'DONNEES DATE A DATE'!$R$15:$S$55,2,FALSE),"")</f>
        <v>0.10414746543778808</v>
      </c>
      <c r="H40" s="281"/>
      <c r="I40" s="196">
        <f>IF('DONNEES DATE A DATE'!O23&lt;&gt;0,'DONNEES DATE A DATE'!O23,"")</f>
        <v>0.01</v>
      </c>
      <c r="J40" s="91" t="s">
        <v>198</v>
      </c>
      <c r="K40" s="90"/>
      <c r="L40" s="12"/>
      <c r="M40" s="92"/>
      <c r="N40" s="12"/>
    </row>
    <row r="41" spans="1:18" x14ac:dyDescent="0.25">
      <c r="A41" s="89" t="str">
        <f>IF('DONNEES DATE A DATE'!O24&lt;&gt;0,'DONNEES DATE A DATE'!N24,"")</f>
        <v/>
      </c>
      <c r="B41" s="12"/>
      <c r="C41" s="12"/>
      <c r="D41" s="12"/>
      <c r="E41" s="12"/>
      <c r="F41" s="12"/>
      <c r="G41" s="281" t="str">
        <f>IF('DONNEES DATE A DATE'!O24&lt;&gt;0,VLOOKUP('DONNEES DATE A DATE'!N24,'DONNEES DATE A DATE'!$R$15:$S$55,2,FALSE),"")</f>
        <v/>
      </c>
      <c r="H41" s="281"/>
      <c r="I41" s="196" t="str">
        <f>IF('DONNEES DATE A DATE'!O24&lt;&gt;0,'DONNEES DATE A DATE'!O24,"")</f>
        <v/>
      </c>
      <c r="J41" s="12"/>
      <c r="K41" s="90"/>
      <c r="L41" s="12"/>
      <c r="M41" s="12"/>
      <c r="N41" s="12"/>
    </row>
    <row r="42" spans="1:18" x14ac:dyDescent="0.25">
      <c r="A42" s="89" t="str">
        <f>IF('DONNEES DATE A DATE'!O25&lt;&gt;0,'DONNEES DATE A DATE'!N25,"")</f>
        <v/>
      </c>
      <c r="G42" s="281" t="str">
        <f>IF('DONNEES DATE A DATE'!O25&lt;&gt;0,VLOOKUP('DONNEES DATE A DATE'!N25,'DONNEES DATE A DATE'!$R$15:$S$55,2,FALSE),"")</f>
        <v/>
      </c>
      <c r="H42" s="281"/>
      <c r="I42" s="196" t="str">
        <f>IF('DONNEES DATE A DATE'!O25&lt;&gt;0,'DONNEES DATE A DATE'!O25,"")</f>
        <v/>
      </c>
    </row>
    <row r="43" spans="1:18" x14ac:dyDescent="0.25">
      <c r="A43" s="89" t="str">
        <f>IF('DONNEES DATE A DATE'!O26&lt;&gt;0,'DONNEES DATE A DATE'!N26,"")</f>
        <v/>
      </c>
      <c r="G43" s="281" t="str">
        <f>IF('DONNEES DATE A DATE'!O26&lt;&gt;0,VLOOKUP('DONNEES DATE A DATE'!N26,'DONNEES DATE A DATE'!$R$15:$S$55,2,FALSE),"")</f>
        <v/>
      </c>
      <c r="H43" s="281"/>
      <c r="I43" s="196" t="str">
        <f>IF('DONNEES DATE A DATE'!O26&lt;&gt;0,'DONNEES DATE A DATE'!O26,"")</f>
        <v/>
      </c>
      <c r="L43" s="94"/>
    </row>
    <row r="44" spans="1:18" x14ac:dyDescent="0.25">
      <c r="A44" s="89" t="str">
        <f>IF('DONNEES DATE A DATE'!O27&lt;&gt;0,'DONNEES DATE A DATE'!N27,"")</f>
        <v/>
      </c>
      <c r="G44" s="281" t="str">
        <f>IF('DONNEES DATE A DATE'!O27&lt;&gt;0,VLOOKUP('DONNEES DATE A DATE'!N27,'DONNEES DATE A DATE'!$R$15:$S$55,2,FALSE),"")</f>
        <v/>
      </c>
      <c r="H44" s="281"/>
      <c r="I44" s="196" t="str">
        <f>IF('DONNEES DATE A DATE'!O27&lt;&gt;0,'DONNEES DATE A DATE'!O27,"")</f>
        <v/>
      </c>
      <c r="L44" s="89"/>
    </row>
    <row r="45" spans="1:18" x14ac:dyDescent="0.25">
      <c r="A45" s="89" t="str">
        <f>IF('DONNEES DATE A DATE'!O28&lt;&gt;0,'DONNEES DATE A DATE'!N28,"")</f>
        <v/>
      </c>
      <c r="G45" s="281" t="str">
        <f>IF('DONNEES DATE A DATE'!O28&lt;&gt;0,VLOOKUP('DONNEES DATE A DATE'!N28,'DONNEES DATE A DATE'!$R$15:$S$55,2,FALSE),"")</f>
        <v/>
      </c>
      <c r="H45" s="281"/>
      <c r="I45" s="196" t="str">
        <f>IF('DONNEES DATE A DATE'!O28&lt;&gt;0,'DONNEES DATE A DATE'!O28,"")</f>
        <v/>
      </c>
      <c r="L45" s="89"/>
    </row>
    <row r="46" spans="1:18" x14ac:dyDescent="0.25">
      <c r="A46" s="89" t="str">
        <f>IF('DONNEES DATE A DATE'!O29&lt;&gt;0,'DONNEES DATE A DATE'!N29,"")</f>
        <v/>
      </c>
      <c r="G46" s="281" t="str">
        <f>IF('DONNEES DATE A DATE'!O29&lt;&gt;0,VLOOKUP('DONNEES DATE A DATE'!N29,'DONNEES DATE A DATE'!$R$15:$S$55,2,FALSE),"")</f>
        <v/>
      </c>
      <c r="H46" s="281"/>
      <c r="I46" s="196" t="str">
        <f>IF('DONNEES DATE A DATE'!O29&lt;&gt;0,'DONNEES DATE A DATE'!O29,"")</f>
        <v/>
      </c>
    </row>
    <row r="47" spans="1:18" x14ac:dyDescent="0.25">
      <c r="A47" s="89" t="str">
        <f>IF('DONNEES DATE A DATE'!O30&lt;&gt;0,'DONNEES DATE A DATE'!N30,"")</f>
        <v/>
      </c>
      <c r="G47" s="281" t="str">
        <f>IF('DONNEES DATE A DATE'!O30&lt;&gt;0,VLOOKUP('DONNEES DATE A DATE'!N30,'DONNEES DATE A DATE'!$R$15:$S$55,2,FALSE),"")</f>
        <v/>
      </c>
      <c r="H47" s="281"/>
      <c r="I47" s="196" t="str">
        <f>IF('DONNEES DATE A DATE'!O30&lt;&gt;0,'DONNEES DATE A DATE'!O30,"")</f>
        <v/>
      </c>
    </row>
    <row r="48" spans="1:18" x14ac:dyDescent="0.25">
      <c r="A48" s="89" t="str">
        <f>IF('DONNEES DATE A DATE'!O31&lt;&gt;0,'DONNEES DATE A DATE'!N31,"")</f>
        <v/>
      </c>
      <c r="G48" s="281" t="str">
        <f>IF('DONNEES DATE A DATE'!O31&lt;&gt;0,VLOOKUP('DONNEES DATE A DATE'!N31,'DONNEES DATE A DATE'!$R$15:$S$55,2,FALSE),"")</f>
        <v/>
      </c>
      <c r="H48" s="281"/>
      <c r="I48" s="196" t="str">
        <f>IF('DONNEES DATE A DATE'!O31&lt;&gt;0,'DONNEES DATE A DATE'!O31,"")</f>
        <v/>
      </c>
    </row>
    <row r="49" spans="1:8" x14ac:dyDescent="0.25">
      <c r="A49" s="89" t="str">
        <f>IF('DONNEES DATE A DATE'!O32&lt;&gt;0,'DONNEES DATE A DATE'!N32,"")</f>
        <v/>
      </c>
      <c r="G49" s="281" t="str">
        <f>IF('DONNEES DATE A DATE'!O32&lt;&gt;0,VLOOKUP('DONNEES DATE A DATE'!N32,'DONNEES DATE A DATE'!$R$15:$S$55,2,FALSE),"")</f>
        <v/>
      </c>
      <c r="H49" s="281"/>
    </row>
    <row r="50" spans="1:8" x14ac:dyDescent="0.25">
      <c r="G50" s="281" t="str">
        <f>IF('DONNEES DATE A DATE'!O33&lt;&gt;0,VLOOKUP('DONNEES DATE A DATE'!N33,'DONNEES DATE A DATE'!$R$15:$S$55,2,FALSE),"")</f>
        <v/>
      </c>
      <c r="H50" s="281"/>
    </row>
    <row r="51" spans="1:8" x14ac:dyDescent="0.25">
      <c r="G51" s="281" t="str">
        <f>IF('DONNEES DATE A DATE'!O34&lt;&gt;0,VLOOKUP('DONNEES DATE A DATE'!N34,'DONNEES DATE A DATE'!$R$15:$S$55,2,FALSE),"")</f>
        <v/>
      </c>
      <c r="H51" s="281"/>
    </row>
    <row r="52" spans="1:8" x14ac:dyDescent="0.25">
      <c r="G52" s="281" t="str">
        <f>IF('DONNEES DATE A DATE'!O35&lt;&gt;0,VLOOKUP('DONNEES DATE A DATE'!N35,'DONNEES DATE A DATE'!$R$15:$S$55,2,FALSE),"")</f>
        <v/>
      </c>
      <c r="H52" s="281"/>
    </row>
    <row r="53" spans="1:8" x14ac:dyDescent="0.25">
      <c r="G53" s="281" t="str">
        <f>IF('DONNEES DATE A DATE'!O36&lt;&gt;0,VLOOKUP('DONNEES DATE A DATE'!N36,'DONNEES DATE A DATE'!$R$15:$S$55,2,FALSE),"")</f>
        <v/>
      </c>
      <c r="H53" s="281"/>
    </row>
    <row r="54" spans="1:8" x14ac:dyDescent="0.25">
      <c r="G54" s="281" t="str">
        <f>IF('DONNEES DATE A DATE'!O37&lt;&gt;0,VLOOKUP('DONNEES DATE A DATE'!N37,'DONNEES DATE A DATE'!$R$15:$S$55,2,FALSE),"")</f>
        <v/>
      </c>
      <c r="H54" s="281"/>
    </row>
    <row r="55" spans="1:8" x14ac:dyDescent="0.25">
      <c r="G55" s="281" t="str">
        <f>IF('DONNEES DATE A DATE'!O38&lt;&gt;0,VLOOKUP('DONNEES DATE A DATE'!N38,'DONNEES DATE A DATE'!$R$15:$S$55,2,FALSE),"")</f>
        <v/>
      </c>
      <c r="H55" s="281"/>
    </row>
    <row r="56" spans="1:8" x14ac:dyDescent="0.25">
      <c r="G56" s="281" t="str">
        <f>IF('DONNEES DATE A DATE'!O39&lt;&gt;0,VLOOKUP('DONNEES DATE A DATE'!N39,'DONNEES DATE A DATE'!$R$15:$S$55,2,FALSE),"")</f>
        <v/>
      </c>
      <c r="H56" s="281"/>
    </row>
    <row r="57" spans="1:8" x14ac:dyDescent="0.25">
      <c r="G57" s="281" t="str">
        <f>IF('DONNEES DATE A DATE'!O40&lt;&gt;0,VLOOKUP('DONNEES DATE A DATE'!N40,'DONNEES DATE A DATE'!$R$15:$S$55,2,FALSE),"")</f>
        <v/>
      </c>
      <c r="H57" s="281"/>
    </row>
    <row r="58" spans="1:8" x14ac:dyDescent="0.25">
      <c r="G58" s="281" t="str">
        <f>IF('DONNEES DATE A DATE'!O41&lt;&gt;0,VLOOKUP('DONNEES DATE A DATE'!N41,'DONNEES DATE A DATE'!$R$15:$S$55,2,FALSE),"")</f>
        <v/>
      </c>
      <c r="H58" s="281"/>
    </row>
  </sheetData>
  <mergeCells count="45">
    <mergeCell ref="G57:H57"/>
    <mergeCell ref="G58:H58"/>
    <mergeCell ref="G52:H52"/>
    <mergeCell ref="G53:H53"/>
    <mergeCell ref="G54:H54"/>
    <mergeCell ref="G55:H55"/>
    <mergeCell ref="G56:H56"/>
    <mergeCell ref="G47:H47"/>
    <mergeCell ref="G48:H48"/>
    <mergeCell ref="G49:H49"/>
    <mergeCell ref="G50:H50"/>
    <mergeCell ref="G51:H51"/>
    <mergeCell ref="A1:O1"/>
    <mergeCell ref="K6:O6"/>
    <mergeCell ref="A18:O18"/>
    <mergeCell ref="A30:O30"/>
    <mergeCell ref="D3:L3"/>
    <mergeCell ref="G42:H42"/>
    <mergeCell ref="G43:H43"/>
    <mergeCell ref="A31:F31"/>
    <mergeCell ref="G31:H31"/>
    <mergeCell ref="G32:H32"/>
    <mergeCell ref="G33:H33"/>
    <mergeCell ref="G34:H34"/>
    <mergeCell ref="G35:H35"/>
    <mergeCell ref="G36:H36"/>
    <mergeCell ref="G37:H37"/>
    <mergeCell ref="G38:H38"/>
    <mergeCell ref="G39:H39"/>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s>
  <dataValidations count="3">
    <dataValidation type="date" allowBlank="1" showInputMessage="1" showErrorMessage="1" error="Veuillez saisir une date comprise entre le 01/01/2018 et le 01/10/2021" sqref="O3" xr:uid="{E07CCCA1-6472-4E2C-A3CB-CD903F48883E}">
      <formula1>43101</formula1>
      <formula2>44621</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09/2022_x000a_" sqref="O4" xr:uid="{077D1335-32F9-47F7-BEAA-D3FFC4B52E05}">
      <formula1>43101</formula1>
      <formula2>44805</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48"/>
  <sheetViews>
    <sheetView showGridLines="0" workbookViewId="0">
      <selection activeCell="H12" sqref="H12"/>
    </sheetView>
  </sheetViews>
  <sheetFormatPr baseColWidth="10" defaultRowHeight="15" x14ac:dyDescent="0.25"/>
  <cols>
    <col min="2" max="2" width="69.42578125" bestFit="1" customWidth="1"/>
    <col min="3" max="4" width="10" style="209" bestFit="1" customWidth="1"/>
  </cols>
  <sheetData>
    <row r="1" spans="1:11" x14ac:dyDescent="0.25">
      <c r="A1" s="291" t="str">
        <f>"CLASSEMENT DES INDICES SELON LEUR ÉVOLUTION A FIN "&amp;'A MODIFIER'!F4&amp;" EN CUMUL DEPUIS JANVIER PAR RAPPORT À "&amp;TEXT(EDATE(DATE4,-12),"aaaa")&amp;" ET "&amp;TEXT(EDATE(DATE4,-24),"aaaa")</f>
        <v>CLASSEMENT DES INDICES SELON LEUR ÉVOLUTION A FIN SEPTEMBRE 2022 EN CUMUL DEPUIS JANVIER PAR RAPPORT À 2021 ET 2020</v>
      </c>
      <c r="B1" s="291"/>
      <c r="C1" s="291"/>
      <c r="D1" s="291"/>
      <c r="E1" s="183"/>
      <c r="F1" s="183"/>
      <c r="G1" s="183"/>
      <c r="H1" s="183"/>
      <c r="I1" s="183"/>
      <c r="J1" s="183"/>
      <c r="K1" s="183"/>
    </row>
    <row r="3" spans="1:11" x14ac:dyDescent="0.25">
      <c r="A3" s="186" t="str">
        <f>'A MODIFIER'!E5</f>
        <v>*/2021 = Cumul janv 2022-sept 2022 / Cumul janv 2021-sept 2021</v>
      </c>
    </row>
    <row r="4" spans="1:11" x14ac:dyDescent="0.25">
      <c r="A4" s="186" t="str">
        <f>'A MODIFIER'!E6</f>
        <v>*/2020 = Cumul janv 2022-sept 2022 / Cumul janv 2020-sept 2020</v>
      </c>
    </row>
    <row r="7" spans="1:11" x14ac:dyDescent="0.25">
      <c r="A7" s="185" t="s">
        <v>178</v>
      </c>
    </row>
    <row r="8" spans="1:11" x14ac:dyDescent="0.25">
      <c r="A8" s="3" t="s">
        <v>271</v>
      </c>
    </row>
    <row r="10" spans="1:11" x14ac:dyDescent="0.25">
      <c r="A10" s="288"/>
      <c r="B10" s="288"/>
      <c r="C10" s="210" t="str">
        <f>'A MODIFIER'!E12</f>
        <v>*/2021</v>
      </c>
      <c r="D10" s="210" t="str">
        <f>'A MODIFIER'!E11</f>
        <v>*/2020</v>
      </c>
    </row>
    <row r="11" spans="1:11" x14ac:dyDescent="0.25">
      <c r="A11" s="9" t="str" cm="1">
        <f t="array" ref="A11:D51">'CALCULS DERNIERES EVOL INDICES'!J57:M97</f>
        <v>010534776</v>
      </c>
      <c r="B11" s="9" t="str">
        <v>Gaz naturel</v>
      </c>
      <c r="C11" s="210">
        <v>3.41726075652101</v>
      </c>
      <c r="D11" s="210">
        <v>13.907161052929522</v>
      </c>
    </row>
    <row r="12" spans="1:11" x14ac:dyDescent="0.25">
      <c r="A12" s="9" t="str">
        <v>Gazole routier HTT</v>
      </c>
      <c r="B12" s="9" t="str">
        <v>Gazole routier HTT</v>
      </c>
      <c r="C12" s="210">
        <v>0.67861438811862906</v>
      </c>
      <c r="D12" s="210">
        <v>1.2356522298301886</v>
      </c>
    </row>
    <row r="13" spans="1:11" x14ac:dyDescent="0.25">
      <c r="A13" s="9" t="str">
        <v>010758171</v>
      </c>
      <c r="B13" s="9" t="str">
        <v>GNR</v>
      </c>
      <c r="C13" s="210">
        <v>0.56175489439496218</v>
      </c>
      <c r="D13" s="210">
        <v>0.83458129028007733</v>
      </c>
    </row>
    <row r="14" spans="1:11" x14ac:dyDescent="0.25">
      <c r="A14" s="9" t="str">
        <v>010536462</v>
      </c>
      <c r="B14" s="9" t="str">
        <v>Acier pour la construction</v>
      </c>
      <c r="C14" s="210">
        <v>0.49281822684497301</v>
      </c>
      <c r="D14" s="210">
        <v>1.153736218864843</v>
      </c>
    </row>
    <row r="15" spans="1:11" x14ac:dyDescent="0.25">
      <c r="A15" s="9" t="str">
        <v>010534598</v>
      </c>
      <c r="B15" s="9" t="str">
        <v>Bitume</v>
      </c>
      <c r="C15" s="210">
        <v>0.44992186390112221</v>
      </c>
      <c r="D15" s="210">
        <v>0.67311475409836063</v>
      </c>
    </row>
    <row r="16" spans="1:11" x14ac:dyDescent="0.25">
      <c r="A16" s="9" t="str">
        <v>010546545</v>
      </c>
      <c r="B16" s="9" t="str">
        <v>Barres crénelées ou nervurées pour béton armé</v>
      </c>
      <c r="C16" s="210">
        <v>0.43733296786130316</v>
      </c>
      <c r="D16" s="210">
        <v>1.1071930882057464</v>
      </c>
    </row>
    <row r="17" spans="1:4" x14ac:dyDescent="0.25">
      <c r="A17" s="9" t="str">
        <v>010534267</v>
      </c>
      <c r="B17" s="9" t="str">
        <v>Produits sidérurgiques en acier non allié</v>
      </c>
      <c r="C17" s="210">
        <v>0.40667449270501455</v>
      </c>
      <c r="D17" s="210">
        <v>0.75996642887117116</v>
      </c>
    </row>
    <row r="18" spans="1:4" x14ac:dyDescent="0.25">
      <c r="A18" s="9" t="str">
        <v>010534613</v>
      </c>
      <c r="B18" s="9" t="str">
        <v>Autres produits explosifs</v>
      </c>
      <c r="C18" s="210">
        <v>0.36238990284209627</v>
      </c>
      <c r="D18" s="210">
        <v>0.49695699890252465</v>
      </c>
    </row>
    <row r="19" spans="1:4" x14ac:dyDescent="0.25">
      <c r="A19" s="9" t="str">
        <v>001764283</v>
      </c>
      <c r="B19" s="9" t="str">
        <v>Gazole</v>
      </c>
      <c r="C19" s="210">
        <v>0.32894112833483691</v>
      </c>
      <c r="D19" s="210">
        <v>0.44251655361757103</v>
      </c>
    </row>
    <row r="20" spans="1:4" x14ac:dyDescent="0.25">
      <c r="A20" s="9" t="str">
        <v>010534606</v>
      </c>
      <c r="B20" s="9" t="str">
        <v>Matières plastiques sous formes primaires</v>
      </c>
      <c r="C20" s="210">
        <v>0.30385684503127175</v>
      </c>
      <c r="D20" s="210">
        <v>0.82959531935641162</v>
      </c>
    </row>
    <row r="21" spans="1:4" x14ac:dyDescent="0.25">
      <c r="A21" s="9" t="str">
        <v>010536480</v>
      </c>
      <c r="B21" s="9" t="str">
        <v>Tôles quarto et autres produits plats en aciers non alliés de qualité</v>
      </c>
      <c r="C21" s="210">
        <v>0.28805031446540896</v>
      </c>
      <c r="D21" s="210">
        <v>0.98017887357988864</v>
      </c>
    </row>
    <row r="22" spans="1:4" x14ac:dyDescent="0.25">
      <c r="A22" s="9" t="str">
        <v>010534654</v>
      </c>
      <c r="B22" s="9" t="str">
        <v>Tubes, tuyaux, profilés creux et accessoires correspondants en acier</v>
      </c>
      <c r="C22" s="210">
        <v>0.26648324653630762</v>
      </c>
      <c r="D22" s="210">
        <v>0.36189771766694845</v>
      </c>
    </row>
    <row r="23" spans="1:4" x14ac:dyDescent="0.25">
      <c r="A23" s="9" t="str">
        <v>010534575</v>
      </c>
      <c r="B23" s="9" t="str">
        <v>Ensemble des produits du sciage</v>
      </c>
      <c r="C23" s="210">
        <v>0.26293333333333324</v>
      </c>
      <c r="D23" s="210">
        <v>0.47830610758505898</v>
      </c>
    </row>
    <row r="24" spans="1:4" x14ac:dyDescent="0.25">
      <c r="A24" s="9" t="str">
        <v>010534330</v>
      </c>
      <c r="B24" s="9" t="str">
        <v>Fils et câbles d'énergie</v>
      </c>
      <c r="C24" s="210">
        <v>0.24473788721207312</v>
      </c>
      <c r="D24" s="210">
        <v>0.46374781085814387</v>
      </c>
    </row>
    <row r="25" spans="1:4" x14ac:dyDescent="0.25">
      <c r="A25" s="9" t="str">
        <v>010534642</v>
      </c>
      <c r="B25" s="9" t="str">
        <v>Ciment, chaux et plâtre</v>
      </c>
      <c r="C25" s="210">
        <v>0.22091295116772813</v>
      </c>
      <c r="D25" s="210">
        <v>0.24591051890369386</v>
      </c>
    </row>
    <row r="26" spans="1:4" x14ac:dyDescent="0.25">
      <c r="A26" s="9" t="str">
        <v>010534625</v>
      </c>
      <c r="B26" s="9" t="str">
        <v>Plaques, feuilles, tubes et profilés en matières plastiques</v>
      </c>
      <c r="C26" s="210">
        <v>0.21830985915492973</v>
      </c>
      <c r="D26" s="210">
        <v>0.39935290039288196</v>
      </c>
    </row>
    <row r="27" spans="1:4" x14ac:dyDescent="0.25">
      <c r="A27" s="9" t="str">
        <v>010534662</v>
      </c>
      <c r="B27" s="9" t="str">
        <v>Travaux de fonderie de fonte</v>
      </c>
      <c r="C27" s="210">
        <v>0.20940219233811708</v>
      </c>
      <c r="D27" s="210">
        <v>0.26381672177609783</v>
      </c>
    </row>
    <row r="28" spans="1:4" x14ac:dyDescent="0.25">
      <c r="A28" s="9" t="str">
        <v>010534180</v>
      </c>
      <c r="B28" s="9" t="str">
        <v>Peintures Industries</v>
      </c>
      <c r="C28" s="210">
        <v>0.20875984251968482</v>
      </c>
      <c r="D28" s="210">
        <v>0.23290834253588977</v>
      </c>
    </row>
    <row r="29" spans="1:4" x14ac:dyDescent="0.25">
      <c r="A29" s="9" t="str">
        <v>010534638</v>
      </c>
      <c r="B29" s="9" t="str">
        <v>Tuiles, briques et produits de construction en terre cuite</v>
      </c>
      <c r="C29" s="210">
        <v>0.20170848905499206</v>
      </c>
      <c r="D29" s="210">
        <v>0.2108887454271573</v>
      </c>
    </row>
    <row r="30" spans="1:4" x14ac:dyDescent="0.25">
      <c r="A30" s="9" t="str">
        <v>010534207</v>
      </c>
      <c r="B30" s="9" t="str">
        <v>Tubes, tuyaux en matière plastique</v>
      </c>
      <c r="C30" s="210">
        <v>0.19917554795897852</v>
      </c>
      <c r="D30" s="210">
        <v>0.32536948549838884</v>
      </c>
    </row>
    <row r="31" spans="1:4" x14ac:dyDescent="0.25">
      <c r="A31" s="9" t="str">
        <v>010534667</v>
      </c>
      <c r="B31" s="9" t="str">
        <v>Éléments en métal pour la construction</v>
      </c>
      <c r="C31" s="210">
        <v>0.14867873390765673</v>
      </c>
      <c r="D31" s="210">
        <v>0.20845213849287192</v>
      </c>
    </row>
    <row r="32" spans="1:4" x14ac:dyDescent="0.25">
      <c r="A32" s="9" t="str">
        <v>010534769</v>
      </c>
      <c r="B32" s="9" t="str">
        <v>Électricité vendue aux entreprises consommatrices finales</v>
      </c>
      <c r="C32" s="210">
        <v>0.14841341795104257</v>
      </c>
      <c r="D32" s="210">
        <v>0.19635436343029844</v>
      </c>
    </row>
    <row r="33" spans="1:4" x14ac:dyDescent="0.25">
      <c r="A33" s="9" t="str">
        <v>010534784</v>
      </c>
      <c r="B33" s="9" t="str">
        <v>Collecte, traitement et élimination des déchets ; récupération de matériaux</v>
      </c>
      <c r="C33" s="210">
        <v>0.13794713738675646</v>
      </c>
      <c r="D33" s="210">
        <v>0.359063022866704</v>
      </c>
    </row>
    <row r="34" spans="1:4" x14ac:dyDescent="0.25">
      <c r="A34" s="9" t="str">
        <v>010534645</v>
      </c>
      <c r="B34" s="9" t="str">
        <v>Éléments en béton pour la construction</v>
      </c>
      <c r="C34" s="210">
        <v>0.1052910613932776</v>
      </c>
      <c r="D34" s="210">
        <v>0.1206192216727584</v>
      </c>
    </row>
    <row r="35" spans="1:4" x14ac:dyDescent="0.25">
      <c r="A35" s="9" t="str">
        <v>010534252</v>
      </c>
      <c r="B35" s="9" t="str">
        <v>Produits de voierie en béton</v>
      </c>
      <c r="C35" s="210">
        <v>0.10338826901422848</v>
      </c>
      <c r="D35" s="210">
        <v>0.14511845320301697</v>
      </c>
    </row>
    <row r="36" spans="1:4" x14ac:dyDescent="0.25">
      <c r="A36" s="9" t="str">
        <v>010534696</v>
      </c>
      <c r="B36" s="9" t="str">
        <v>Moteurs, génératrices, transfo. électr., matér. distrib., cmde électr.</v>
      </c>
      <c r="C36" s="210">
        <v>8.8900634249471366E-2</v>
      </c>
      <c r="D36" s="210">
        <v>0.1045464293373366</v>
      </c>
    </row>
    <row r="37" spans="1:4" x14ac:dyDescent="0.25">
      <c r="A37" s="9" t="str">
        <v>010534698</v>
      </c>
      <c r="B37" s="9" t="str">
        <v>Matériel de distribution et de commande électrique</v>
      </c>
      <c r="C37" s="210">
        <v>8.7262417305471018E-2</v>
      </c>
      <c r="D37" s="210">
        <v>0.11369258900720691</v>
      </c>
    </row>
    <row r="38" spans="1:4" x14ac:dyDescent="0.25">
      <c r="A38" s="9" t="str">
        <v>010760506</v>
      </c>
      <c r="B38" s="9" t="str">
        <v>Réseaux d’assainissement</v>
      </c>
      <c r="C38" s="210">
        <v>8.5368863380137272E-2</v>
      </c>
      <c r="D38" s="210">
        <v>0.14091187244128411</v>
      </c>
    </row>
    <row r="39" spans="1:4" x14ac:dyDescent="0.25">
      <c r="A39" s="9" t="str">
        <v>010534789</v>
      </c>
      <c r="B39" s="9" t="str">
        <v>Traitement et élimination des déchets non dangereux</v>
      </c>
      <c r="C39" s="210">
        <v>7.5806147463699958E-2</v>
      </c>
      <c r="D39" s="210">
        <v>0.12992671816201229</v>
      </c>
    </row>
    <row r="40" spans="1:4" x14ac:dyDescent="0.25">
      <c r="A40" s="9" t="str">
        <v>010534554</v>
      </c>
      <c r="B40" s="9" t="str">
        <v>Autres textiles</v>
      </c>
      <c r="C40" s="210">
        <v>7.4293900941465374E-2</v>
      </c>
      <c r="D40" s="210">
        <v>9.880678249947672E-2</v>
      </c>
    </row>
    <row r="41" spans="1:4" x14ac:dyDescent="0.25">
      <c r="A41" s="9" t="str">
        <v>010534647</v>
      </c>
      <c r="B41" s="9" t="str">
        <v>Mortiers et bétons secs</v>
      </c>
      <c r="C41" s="210">
        <v>6.8490153172866552E-2</v>
      </c>
      <c r="D41" s="210">
        <v>7.6973974415527113E-2</v>
      </c>
    </row>
    <row r="42" spans="1:4" x14ac:dyDescent="0.25">
      <c r="A42" s="9" t="str">
        <v>001711009</v>
      </c>
      <c r="B42" s="9" t="str">
        <v>Matériel</v>
      </c>
      <c r="C42" s="210">
        <v>6.106791083462948E-2</v>
      </c>
      <c r="D42" s="210">
        <v>9.0231170768083624E-2</v>
      </c>
    </row>
    <row r="43" spans="1:4" x14ac:dyDescent="0.25">
      <c r="A43" s="9" t="str">
        <v>001711011</v>
      </c>
      <c r="B43" s="9" t="str">
        <v>Frais divers</v>
      </c>
      <c r="C43" s="210">
        <v>5.7224758466928316E-2</v>
      </c>
      <c r="D43" s="210">
        <v>6.7882037533511852E-2</v>
      </c>
    </row>
    <row r="44" spans="1:4" x14ac:dyDescent="0.25">
      <c r="A44" s="9" t="str">
        <v>010534646</v>
      </c>
      <c r="B44" s="9" t="str">
        <v>Béton prêt à l'emploi</v>
      </c>
      <c r="C44" s="210">
        <v>5.5102467586783721E-2</v>
      </c>
      <c r="D44" s="210">
        <v>7.0776740237691094E-2</v>
      </c>
    </row>
    <row r="45" spans="1:4" x14ac:dyDescent="0.25">
      <c r="A45" s="9" t="str">
        <v>001763781</v>
      </c>
      <c r="B45" s="9" t="str">
        <v>Restaurants et hôtels</v>
      </c>
      <c r="C45" s="210">
        <v>4.531817625209178E-2</v>
      </c>
      <c r="D45" s="210">
        <v>4.9849856005247162E-2</v>
      </c>
    </row>
    <row r="46" spans="1:4" x14ac:dyDescent="0.25">
      <c r="A46" s="9" t="str">
        <v>001711943</v>
      </c>
      <c r="B46" s="9" t="str">
        <v>Transports routiers</v>
      </c>
      <c r="C46" s="210">
        <v>4.2897612302711607E-2</v>
      </c>
      <c r="D46" s="210">
        <v>4.4906234161176117E-2</v>
      </c>
    </row>
    <row r="47" spans="1:4" x14ac:dyDescent="0.25">
      <c r="A47" s="9" t="str">
        <v>010536067</v>
      </c>
      <c r="B47" s="9" t="str">
        <v>Sables et granulats</v>
      </c>
      <c r="C47" s="210">
        <v>3.8867000319454892E-2</v>
      </c>
      <c r="D47" s="210">
        <v>5.1973258572352687E-2</v>
      </c>
    </row>
    <row r="48" spans="1:4" x14ac:dyDescent="0.25">
      <c r="A48" s="9" t="str">
        <v>010534702</v>
      </c>
      <c r="B48" s="9" t="str">
        <v>Appareils d'éclairage électrique</v>
      </c>
      <c r="C48" s="210">
        <v>3.5718374356038751E-2</v>
      </c>
      <c r="D48" s="210">
        <v>3.3116364051615665E-2</v>
      </c>
    </row>
    <row r="49" spans="1:6" x14ac:dyDescent="0.25">
      <c r="A49" s="9" t="str">
        <v>001565195</v>
      </c>
      <c r="B49" s="9" t="str">
        <v>Travail activités spécialisées</v>
      </c>
      <c r="C49" s="210">
        <v>1.2337896253602043E-2</v>
      </c>
      <c r="D49" s="210">
        <v>2.9584172925444241E-2</v>
      </c>
    </row>
    <row r="50" spans="1:6" x14ac:dyDescent="0.25">
      <c r="A50" s="9" t="str">
        <v>5540998</v>
      </c>
      <c r="B50" s="9" t="str">
        <v>Travail</v>
      </c>
      <c r="C50" s="210">
        <v>3.5262206148283237E-3</v>
      </c>
      <c r="D50" s="210">
        <v>-2.785265049415897E-3</v>
      </c>
    </row>
    <row r="51" spans="1:6" x14ac:dyDescent="0.25">
      <c r="A51" s="9" t="str">
        <v>010535345</v>
      </c>
      <c r="B51" s="9" t="str">
        <v>Câbles de fibres optiques</v>
      </c>
      <c r="C51" s="210">
        <v>-1.0704345964461792E-3</v>
      </c>
      <c r="D51" s="210">
        <v>-2.7916666666666701E-2</v>
      </c>
    </row>
    <row r="56" spans="1:6" x14ac:dyDescent="0.25">
      <c r="A56" s="289" t="str">
        <f>"CLASSEMENT DES INDICES SELON LEUR ÉVOLUTION A FIN "&amp;'A MODIFIER'!F4&amp;" EN CUMUL DEPUIS "&amp;UPPER(TEXT(DATE4,"mmmmmmmm"))&amp;" PAR RAPPORT À "&amp;TEXT(EDATE(DATE4,-12),"aaaa")&amp;" ET "&amp;TEXT(EDATE(DATE4,-24),"aaaa")</f>
        <v>CLASSEMENT DES INDICES SELON LEUR ÉVOLUTION A FIN SEPTEMBRE 2022 EN CUMUL DEPUIS SEPTEMBRE PAR RAPPORT À 2021 ET 2020</v>
      </c>
      <c r="B56" s="289"/>
      <c r="C56" s="289"/>
      <c r="D56" s="289"/>
      <c r="F56" s="121"/>
    </row>
    <row r="58" spans="1:6" x14ac:dyDescent="0.25">
      <c r="A58" s="59" t="str">
        <f>'A MODIFIER'!E9</f>
        <v>*12 mois =  Cumul oct 2021-sept 2022 / Cumul oct 2020-sept 2021</v>
      </c>
    </row>
    <row r="59" spans="1:6" x14ac:dyDescent="0.25">
      <c r="A59" s="59" t="str">
        <f>'A MODIFIER'!E10</f>
        <v>*24 mois =  Cumul oct 2021-sept 2022 / Cumul oct 2019-sept 2020</v>
      </c>
    </row>
    <row r="61" spans="1:6" x14ac:dyDescent="0.25">
      <c r="A61" s="288"/>
      <c r="B61" s="288"/>
      <c r="C61" s="211" t="str">
        <f>'A MODIFIER'!E13</f>
        <v xml:space="preserve">*12 mois </v>
      </c>
      <c r="D61" s="210" t="str">
        <f>'A MODIFIER'!E14</f>
        <v>*24 mois</v>
      </c>
    </row>
    <row r="62" spans="1:6" x14ac:dyDescent="0.25">
      <c r="A62" s="9" t="str" cm="1">
        <f t="array" ref="A62:D102">'CALCULS DERNIERES EVOL INDICES'!J8:M48</f>
        <v>010534776</v>
      </c>
      <c r="B62" s="9" t="str">
        <v>Gaz naturel</v>
      </c>
      <c r="C62" s="210">
        <v>3.6738646961761967</v>
      </c>
      <c r="D62" s="210">
        <v>10.584103840682786</v>
      </c>
    </row>
    <row r="63" spans="1:6" x14ac:dyDescent="0.25">
      <c r="A63" s="9" t="str">
        <v>Gazole routier HTT</v>
      </c>
      <c r="B63" s="9" t="str">
        <v>Gazole routier HTT</v>
      </c>
      <c r="C63" s="210">
        <v>0.63544777031106636</v>
      </c>
      <c r="D63" s="210">
        <v>0.96437576581007756</v>
      </c>
    </row>
    <row r="64" spans="1:6" x14ac:dyDescent="0.25">
      <c r="A64" s="9" t="str">
        <v>010536462</v>
      </c>
      <c r="B64" s="9" t="str">
        <v>Acier pour la construction</v>
      </c>
      <c r="C64" s="210">
        <v>0.54176953551128193</v>
      </c>
      <c r="D64" s="210">
        <v>1.0512565884959133</v>
      </c>
    </row>
    <row r="65" spans="1:4" x14ac:dyDescent="0.25">
      <c r="A65" s="9" t="str">
        <v>010758171</v>
      </c>
      <c r="B65" s="9" t="str">
        <v>GNR</v>
      </c>
      <c r="C65" s="210">
        <v>0.54049708682230979</v>
      </c>
      <c r="D65" s="210">
        <v>0.63456592783673882</v>
      </c>
    </row>
    <row r="66" spans="1:4" x14ac:dyDescent="0.25">
      <c r="A66" s="9" t="str">
        <v>010546545</v>
      </c>
      <c r="B66" s="9" t="str">
        <v>Barres crénelées ou nervurées pour béton armé</v>
      </c>
      <c r="C66" s="210">
        <v>0.48807472063156676</v>
      </c>
      <c r="D66" s="210">
        <v>1.009459459459459</v>
      </c>
    </row>
    <row r="67" spans="1:4" x14ac:dyDescent="0.25">
      <c r="A67" s="9" t="str">
        <v>010534598</v>
      </c>
      <c r="B67" s="9" t="str">
        <v>Bitume</v>
      </c>
      <c r="C67" s="210">
        <v>0.44381239194690769</v>
      </c>
      <c r="D67" s="210">
        <v>0.59267917563826522</v>
      </c>
    </row>
    <row r="68" spans="1:4" x14ac:dyDescent="0.25">
      <c r="A68" s="9" t="str">
        <v>010534267</v>
      </c>
      <c r="B68" s="9" t="str">
        <v>Produits sidérurgiques en acier non allié</v>
      </c>
      <c r="C68" s="210">
        <v>0.40901270513499211</v>
      </c>
      <c r="D68" s="210">
        <v>0.66520685070775021</v>
      </c>
    </row>
    <row r="69" spans="1:4" x14ac:dyDescent="0.25">
      <c r="A69" s="9" t="str">
        <v>010536480</v>
      </c>
      <c r="B69" s="9" t="str">
        <v>Tôles quarto et autres produits plats en aciers non alliés de qualité</v>
      </c>
      <c r="C69" s="210">
        <v>0.40604931929103505</v>
      </c>
      <c r="D69" s="210">
        <v>0.97216717708520983</v>
      </c>
    </row>
    <row r="70" spans="1:4" x14ac:dyDescent="0.25">
      <c r="A70" s="9" t="str">
        <v>010534606</v>
      </c>
      <c r="B70" s="9" t="str">
        <v>Matières plastiques sous formes primaires</v>
      </c>
      <c r="C70" s="210">
        <v>0.35020596243803692</v>
      </c>
      <c r="D70" s="210">
        <v>0.73319591324610145</v>
      </c>
    </row>
    <row r="71" spans="1:4" x14ac:dyDescent="0.25">
      <c r="A71" s="9" t="str">
        <v>010534613</v>
      </c>
      <c r="B71" s="9" t="str">
        <v>Autres produits explosifs</v>
      </c>
      <c r="C71" s="210">
        <v>0.32883665948126017</v>
      </c>
      <c r="D71" s="210">
        <v>0.43511565034544919</v>
      </c>
    </row>
    <row r="72" spans="1:4" x14ac:dyDescent="0.25">
      <c r="A72" s="9" t="str">
        <v>001764283</v>
      </c>
      <c r="B72" s="9" t="str">
        <v>Gazole</v>
      </c>
      <c r="C72" s="210">
        <v>0.31137758948766736</v>
      </c>
      <c r="D72" s="210">
        <v>0.33600345286690358</v>
      </c>
    </row>
    <row r="73" spans="1:4" x14ac:dyDescent="0.25">
      <c r="A73" s="9" t="str">
        <v>010534575</v>
      </c>
      <c r="B73" s="9" t="str">
        <v>Ensemble des produits du sciage</v>
      </c>
      <c r="C73" s="210">
        <v>0.27967210856237501</v>
      </c>
      <c r="D73" s="210">
        <v>0.44624367458154857</v>
      </c>
    </row>
    <row r="74" spans="1:4" x14ac:dyDescent="0.25">
      <c r="A74" s="9" t="str">
        <v>010534330</v>
      </c>
      <c r="B74" s="9" t="str">
        <v>Fils et câbles d'énergie</v>
      </c>
      <c r="C74" s="210">
        <v>0.258076952733441</v>
      </c>
      <c r="D74" s="210">
        <v>0.43273621355813119</v>
      </c>
    </row>
    <row r="75" spans="1:4" x14ac:dyDescent="0.25">
      <c r="A75" s="9" t="str">
        <v>010534625</v>
      </c>
      <c r="B75" s="9" t="str">
        <v>Plaques, feuilles, tubes et profilés en matières plastiques</v>
      </c>
      <c r="C75" s="210">
        <v>0.23349738301695178</v>
      </c>
      <c r="D75" s="210">
        <v>0.35909795145463952</v>
      </c>
    </row>
    <row r="76" spans="1:4" x14ac:dyDescent="0.25">
      <c r="A76" s="9" t="str">
        <v>010534654</v>
      </c>
      <c r="B76" s="9" t="str">
        <v>Tubes, tuyaux, profilés creux et accessoires correspondants en acier</v>
      </c>
      <c r="C76" s="210">
        <v>0.23276827720110527</v>
      </c>
      <c r="D76" s="210">
        <v>0.29790077836307871</v>
      </c>
    </row>
    <row r="77" spans="1:4" x14ac:dyDescent="0.25">
      <c r="A77" s="9" t="str">
        <v>010534207</v>
      </c>
      <c r="B77" s="9" t="str">
        <v>Tubes, tuyaux en matière plastique</v>
      </c>
      <c r="C77" s="210">
        <v>0.21408625504188672</v>
      </c>
      <c r="D77" s="210">
        <v>0.30357291579911738</v>
      </c>
    </row>
    <row r="78" spans="1:4" x14ac:dyDescent="0.25">
      <c r="A78" s="9" t="str">
        <v>010534662</v>
      </c>
      <c r="B78" s="9" t="str">
        <v>Travaux de fonderie de fonte</v>
      </c>
      <c r="C78" s="210">
        <v>0.18987993138936532</v>
      </c>
      <c r="D78" s="210">
        <v>0.2257266542980827</v>
      </c>
    </row>
    <row r="79" spans="1:4" x14ac:dyDescent="0.25">
      <c r="A79" s="9" t="str">
        <v>010534180</v>
      </c>
      <c r="B79" s="9" t="str">
        <v>Peintures Industries</v>
      </c>
      <c r="C79" s="210">
        <v>0.18049285872863163</v>
      </c>
      <c r="D79" s="210">
        <v>0.20565338976645742</v>
      </c>
    </row>
    <row r="80" spans="1:4" x14ac:dyDescent="0.25">
      <c r="A80" s="9" t="str">
        <v>010534642</v>
      </c>
      <c r="B80" s="9" t="str">
        <v>Ciment, chaux et plâtre</v>
      </c>
      <c r="C80" s="210">
        <v>0.17829705505761861</v>
      </c>
      <c r="D80" s="210">
        <v>0.1990228013029316</v>
      </c>
    </row>
    <row r="81" spans="1:4" x14ac:dyDescent="0.25">
      <c r="A81" s="9" t="str">
        <v>010534638</v>
      </c>
      <c r="B81" s="9" t="str">
        <v>Tuiles, briques et produits de construction en terre cuite</v>
      </c>
      <c r="C81" s="210">
        <v>0.1580976863753214</v>
      </c>
      <c r="D81" s="210">
        <v>0.17003489976462949</v>
      </c>
    </row>
    <row r="82" spans="1:4" x14ac:dyDescent="0.25">
      <c r="A82" s="9" t="str">
        <v>010534784</v>
      </c>
      <c r="B82" s="9" t="str">
        <v>Collecte, traitement et élimination des déchets ; récupération de matériaux</v>
      </c>
      <c r="C82" s="210">
        <v>0.14365848328112474</v>
      </c>
      <c r="D82" s="210">
        <v>0.31835740678535474</v>
      </c>
    </row>
    <row r="83" spans="1:4" x14ac:dyDescent="0.25">
      <c r="A83" s="9" t="str">
        <v>010534667</v>
      </c>
      <c r="B83" s="9" t="str">
        <v>Éléments en métal pour la construction</v>
      </c>
      <c r="C83" s="210">
        <v>0.14222777002716769</v>
      </c>
      <c r="D83" s="210">
        <v>0.19157410953657572</v>
      </c>
    </row>
    <row r="84" spans="1:4" x14ac:dyDescent="0.25">
      <c r="A84" s="9" t="str">
        <v>010534769</v>
      </c>
      <c r="B84" s="9" t="str">
        <v>Électricité vendue aux entreprises consommatrices finales</v>
      </c>
      <c r="C84" s="210">
        <v>0.12702443041449341</v>
      </c>
      <c r="D84" s="210">
        <v>0.1640087887164221</v>
      </c>
    </row>
    <row r="85" spans="1:4" x14ac:dyDescent="0.25">
      <c r="A85" s="9" t="str">
        <v>010534252</v>
      </c>
      <c r="B85" s="9" t="str">
        <v>Produits de voierie en béton</v>
      </c>
      <c r="C85" s="210">
        <v>9.5757857253444767E-2</v>
      </c>
      <c r="D85" s="210">
        <v>0.13640012845215166</v>
      </c>
    </row>
    <row r="86" spans="1:4" x14ac:dyDescent="0.25">
      <c r="A86" s="9" t="str">
        <v>010534645</v>
      </c>
      <c r="B86" s="9" t="str">
        <v>Éléments en béton pour la construction</v>
      </c>
      <c r="C86" s="210">
        <v>8.9128697042366145E-2</v>
      </c>
      <c r="D86" s="210">
        <v>0.10359630649603102</v>
      </c>
    </row>
    <row r="87" spans="1:4" x14ac:dyDescent="0.25">
      <c r="A87" s="9" t="str">
        <v>010760506</v>
      </c>
      <c r="B87" s="9" t="str">
        <v>Réseaux d’assainissement</v>
      </c>
      <c r="C87" s="210">
        <v>8.7779215716847103E-2</v>
      </c>
      <c r="D87" s="210">
        <v>0.11981894060995191</v>
      </c>
    </row>
    <row r="88" spans="1:4" x14ac:dyDescent="0.25">
      <c r="A88" s="9" t="str">
        <v>010534696</v>
      </c>
      <c r="B88" s="9" t="str">
        <v>Moteurs, génératrices, transfo. électr., matér. distrib., cmde électr.</v>
      </c>
      <c r="C88" s="210">
        <v>7.5332113594781758E-2</v>
      </c>
      <c r="D88" s="210">
        <v>8.8405797101449135E-2</v>
      </c>
    </row>
    <row r="89" spans="1:4" x14ac:dyDescent="0.25">
      <c r="A89" s="9" t="str">
        <v>010534789</v>
      </c>
      <c r="B89" s="9" t="str">
        <v>Traitement et élimination des déchets non dangereux</v>
      </c>
      <c r="C89" s="210">
        <v>7.4465029441332709E-2</v>
      </c>
      <c r="D89" s="210">
        <v>0.1190636452023035</v>
      </c>
    </row>
    <row r="90" spans="1:4" x14ac:dyDescent="0.25">
      <c r="A90" s="9" t="str">
        <v>010534698</v>
      </c>
      <c r="B90" s="9" t="str">
        <v>Matériel de distribution et de commande électrique</v>
      </c>
      <c r="C90" s="210">
        <v>7.4191252076247993E-2</v>
      </c>
      <c r="D90" s="210">
        <v>9.9765163171106952E-2</v>
      </c>
    </row>
    <row r="91" spans="1:4" x14ac:dyDescent="0.25">
      <c r="A91" s="9" t="str">
        <v>010534554</v>
      </c>
      <c r="B91" s="9" t="str">
        <v>Autres textiles</v>
      </c>
      <c r="C91" s="210">
        <v>6.6599938404681369E-2</v>
      </c>
      <c r="D91" s="210">
        <v>8.8473324428380851E-2</v>
      </c>
    </row>
    <row r="92" spans="1:4" x14ac:dyDescent="0.25">
      <c r="A92" s="9" t="str">
        <v>010534647</v>
      </c>
      <c r="B92" s="9" t="str">
        <v>Mortiers et bétons secs</v>
      </c>
      <c r="C92" s="210">
        <v>5.9484467944481256E-2</v>
      </c>
      <c r="D92" s="210">
        <v>6.6001662510390746E-2</v>
      </c>
    </row>
    <row r="93" spans="1:4" x14ac:dyDescent="0.25">
      <c r="A93" s="9" t="str">
        <v>001711009</v>
      </c>
      <c r="B93" s="9" t="str">
        <v>Matériel</v>
      </c>
      <c r="C93" s="210">
        <v>5.7538750587130094E-2</v>
      </c>
      <c r="D93" s="210">
        <v>7.727272727272716E-2</v>
      </c>
    </row>
    <row r="94" spans="1:4" x14ac:dyDescent="0.25">
      <c r="A94" s="9" t="str">
        <v>001711011</v>
      </c>
      <c r="B94" s="9" t="str">
        <v>Frais divers</v>
      </c>
      <c r="C94" s="210">
        <v>5.1095474172397015E-2</v>
      </c>
      <c r="D94" s="210">
        <v>5.7096903900281326E-2</v>
      </c>
    </row>
    <row r="95" spans="1:4" x14ac:dyDescent="0.25">
      <c r="A95" s="9" t="str">
        <v>010534646</v>
      </c>
      <c r="B95" s="9" t="str">
        <v>Béton prêt à l'emploi</v>
      </c>
      <c r="C95" s="210">
        <v>4.4797233574347617E-2</v>
      </c>
      <c r="D95" s="210">
        <v>5.8102515122572251E-2</v>
      </c>
    </row>
    <row r="96" spans="1:4" x14ac:dyDescent="0.25">
      <c r="A96" s="9" t="str">
        <v>001763781</v>
      </c>
      <c r="B96" s="9" t="str">
        <v>Restaurants et hôtels</v>
      </c>
      <c r="C96" s="210">
        <v>3.9309300305217842E-2</v>
      </c>
      <c r="D96" s="210">
        <v>4.3448728339315457E-2</v>
      </c>
    </row>
    <row r="97" spans="1:4" x14ac:dyDescent="0.25">
      <c r="A97" s="9" t="str">
        <v>001711943</v>
      </c>
      <c r="B97" s="9" t="str">
        <v>Transports routiers</v>
      </c>
      <c r="C97" s="210">
        <v>3.6811682385153643E-2</v>
      </c>
      <c r="D97" s="210">
        <v>3.4922563012450558E-2</v>
      </c>
    </row>
    <row r="98" spans="1:4" x14ac:dyDescent="0.25">
      <c r="A98" s="9" t="str">
        <v>010536067</v>
      </c>
      <c r="B98" s="9" t="str">
        <v>Sables et granulats</v>
      </c>
      <c r="C98" s="210">
        <v>3.1362797786155472E-2</v>
      </c>
      <c r="D98" s="210">
        <v>4.5110948549134555E-2</v>
      </c>
    </row>
    <row r="99" spans="1:4" x14ac:dyDescent="0.25">
      <c r="A99" s="9" t="str">
        <v>010534702</v>
      </c>
      <c r="B99" s="9" t="str">
        <v>Appareils d'éclairage électrique</v>
      </c>
      <c r="C99" s="210">
        <v>2.284003421727987E-2</v>
      </c>
      <c r="D99" s="210">
        <v>2.6175763817370301E-2</v>
      </c>
    </row>
    <row r="100" spans="1:4" x14ac:dyDescent="0.25">
      <c r="A100" s="9" t="str">
        <v>001565195</v>
      </c>
      <c r="B100" s="9" t="str">
        <v>Travail activités spécialisées</v>
      </c>
      <c r="C100" s="210">
        <v>9.1898101223057971E-3</v>
      </c>
      <c r="D100" s="210">
        <v>2.8652111026930216E-2</v>
      </c>
    </row>
    <row r="101" spans="1:4" x14ac:dyDescent="0.25">
      <c r="A101" s="9" t="str">
        <v>5540998</v>
      </c>
      <c r="B101" s="9" t="str">
        <v>Travail</v>
      </c>
      <c r="C101" s="210">
        <v>6.7732321864011347E-4</v>
      </c>
      <c r="D101" s="210">
        <v>-4.5145205848661218E-3</v>
      </c>
    </row>
    <row r="102" spans="1:4" x14ac:dyDescent="0.25">
      <c r="A102" s="9" t="str">
        <v>010535345</v>
      </c>
      <c r="B102" s="9" t="str">
        <v>Câbles de fibres optiques</v>
      </c>
      <c r="C102" s="210">
        <v>-8.6275762901425468E-3</v>
      </c>
      <c r="D102" s="210">
        <v>-3.235867446393792E-2</v>
      </c>
    </row>
    <row r="106" spans="1:4" x14ac:dyDescent="0.25">
      <c r="A106" s="289" t="s">
        <v>180</v>
      </c>
      <c r="B106" s="290"/>
      <c r="C106" s="290"/>
      <c r="D106" s="290"/>
    </row>
    <row r="108" spans="1:4" x14ac:dyDescent="0.25">
      <c r="A108" s="59" t="str">
        <f>'A MODIFIER'!E7</f>
        <v>*3 mois = Cumul juil 2022-sept 2022 / Cumul avr 2022-juin 2022</v>
      </c>
    </row>
    <row r="109" spans="1:4" x14ac:dyDescent="0.25">
      <c r="A109" s="59" t="str">
        <f>'A MODIFIER'!E8</f>
        <v>*6 mois = Cumul avr 2022-sept 2022 / Cumul oct 2021-mars 2022</v>
      </c>
    </row>
    <row r="111" spans="1:4" x14ac:dyDescent="0.25">
      <c r="A111" s="288"/>
      <c r="B111" s="288"/>
      <c r="C111" s="212" t="str">
        <f>'A MODIFIER'!A11</f>
        <v>*3 mois</v>
      </c>
      <c r="D111" s="212" t="str">
        <f>'A MODIFIER'!A12</f>
        <v>*6 mois</v>
      </c>
    </row>
    <row r="112" spans="1:4" x14ac:dyDescent="0.25">
      <c r="A112" s="184" t="str" cm="1">
        <f t="array" ref="A112:D152">'CALCULS DERNIERES EVOL INDICES'!J109:M149</f>
        <v>010534776</v>
      </c>
      <c r="B112" s="184" t="str">
        <v>Gaz naturel</v>
      </c>
      <c r="C112" s="210">
        <v>0.54948535233570839</v>
      </c>
      <c r="D112" s="210">
        <v>0.45761816741484029</v>
      </c>
    </row>
    <row r="113" spans="1:4" x14ac:dyDescent="0.25">
      <c r="A113" s="184" t="str">
        <v>010534180</v>
      </c>
      <c r="B113" s="184" t="str">
        <v>Peintures Industries</v>
      </c>
      <c r="C113" s="210">
        <v>0.11947461480171762</v>
      </c>
      <c r="D113" s="210">
        <v>0.10977383943922736</v>
      </c>
    </row>
    <row r="114" spans="1:4" x14ac:dyDescent="0.25">
      <c r="A114" s="184" t="str">
        <v>010534654</v>
      </c>
      <c r="B114" s="184" t="str">
        <v>Tubes, tuyaux, profilés creux et accessoires correspondants en acier</v>
      </c>
      <c r="C114" s="210">
        <v>8.8774072334429244E-2</v>
      </c>
      <c r="D114" s="210">
        <v>0.16811137378513252</v>
      </c>
    </row>
    <row r="115" spans="1:4" x14ac:dyDescent="0.25">
      <c r="A115" s="184" t="str">
        <v>010760506</v>
      </c>
      <c r="B115" s="184" t="str">
        <v>Réseaux d’assainissement</v>
      </c>
      <c r="C115" s="210">
        <v>6.3993174061433455E-2</v>
      </c>
      <c r="D115" s="210">
        <v>6.5878590464909736E-2</v>
      </c>
    </row>
    <row r="116" spans="1:4" x14ac:dyDescent="0.25">
      <c r="A116" s="184" t="str">
        <v>010534645</v>
      </c>
      <c r="B116" s="184" t="str">
        <v>Éléments en béton pour la construction</v>
      </c>
      <c r="C116" s="210">
        <v>5.9336823734729593E-2</v>
      </c>
      <c r="D116" s="210">
        <v>8.1741787624140416E-2</v>
      </c>
    </row>
    <row r="117" spans="1:4" x14ac:dyDescent="0.25">
      <c r="A117" s="184" t="str">
        <v>010534638</v>
      </c>
      <c r="B117" s="184" t="str">
        <v>Tuiles, briques et produits de construction en terre cuite</v>
      </c>
      <c r="C117" s="210">
        <v>5.1855751513556259E-2</v>
      </c>
      <c r="D117" s="210">
        <v>0.1773146050445551</v>
      </c>
    </row>
    <row r="118" spans="1:4" x14ac:dyDescent="0.25">
      <c r="A118" s="184" t="str">
        <v>010534662</v>
      </c>
      <c r="B118" s="184" t="str">
        <v>Travaux de fonderie de fonte</v>
      </c>
      <c r="C118" s="210">
        <v>5.1040221914008255E-2</v>
      </c>
      <c r="D118" s="210">
        <v>0.1410493827160495</v>
      </c>
    </row>
    <row r="119" spans="1:4" x14ac:dyDescent="0.25">
      <c r="A119" s="184" t="str">
        <v>001763781</v>
      </c>
      <c r="B119" s="184" t="str">
        <v>Restaurants et hôtels</v>
      </c>
      <c r="C119" s="210">
        <v>4.8885863936318108E-2</v>
      </c>
      <c r="D119" s="210">
        <v>4.9919631213416915E-2</v>
      </c>
    </row>
    <row r="120" spans="1:4" x14ac:dyDescent="0.25">
      <c r="A120" s="184" t="str">
        <v>010534642</v>
      </c>
      <c r="B120" s="184" t="str">
        <v>Ciment, chaux et plâtre</v>
      </c>
      <c r="C120" s="210">
        <v>4.8378661087866037E-2</v>
      </c>
      <c r="D120" s="210">
        <v>0.13670004353504583</v>
      </c>
    </row>
    <row r="121" spans="1:4" x14ac:dyDescent="0.25">
      <c r="A121" s="184" t="str">
        <v>001711011</v>
      </c>
      <c r="B121" s="184" t="str">
        <v>Frais divers</v>
      </c>
      <c r="C121" s="210">
        <v>3.372478169226123E-2</v>
      </c>
      <c r="D121" s="210">
        <v>5.679862306368344E-2</v>
      </c>
    </row>
    <row r="122" spans="1:4" x14ac:dyDescent="0.25">
      <c r="A122" s="184" t="str">
        <v>001711009</v>
      </c>
      <c r="B122" s="184" t="str">
        <v>Matériel</v>
      </c>
      <c r="C122" s="210">
        <v>3.0597234480729485E-2</v>
      </c>
      <c r="D122" s="210">
        <v>4.4649614045709107E-2</v>
      </c>
    </row>
    <row r="123" spans="1:4" x14ac:dyDescent="0.25">
      <c r="A123" s="184" t="str">
        <v>010534646</v>
      </c>
      <c r="B123" s="184" t="str">
        <v>Béton prêt à l'emploi</v>
      </c>
      <c r="C123" s="210">
        <v>2.5602857993450412E-2</v>
      </c>
      <c r="D123" s="210">
        <v>4.8382126348228027E-2</v>
      </c>
    </row>
    <row r="124" spans="1:4" x14ac:dyDescent="0.25">
      <c r="A124" s="184" t="str">
        <v>010536067</v>
      </c>
      <c r="B124" s="184" t="str">
        <v>Sables et granulats</v>
      </c>
      <c r="C124" s="210">
        <v>2.2433927473878512E-2</v>
      </c>
      <c r="D124" s="210">
        <v>4.8430779034570381E-2</v>
      </c>
    </row>
    <row r="125" spans="1:4" x14ac:dyDescent="0.25">
      <c r="A125" s="184" t="str">
        <v>010534647</v>
      </c>
      <c r="B125" s="184" t="str">
        <v>Mortiers et bétons secs</v>
      </c>
      <c r="C125" s="210">
        <v>2.2351500306184935E-2</v>
      </c>
      <c r="D125" s="210">
        <v>6.206785656858016E-2</v>
      </c>
    </row>
    <row r="126" spans="1:4" x14ac:dyDescent="0.25">
      <c r="A126" s="184" t="str">
        <v>010534696</v>
      </c>
      <c r="B126" s="184" t="str">
        <v>Moteurs, génératrices, transfo. électr., matér. distrib., cmde électr.</v>
      </c>
      <c r="C126" s="210">
        <v>2.1517883105554025E-2</v>
      </c>
      <c r="D126" s="210">
        <v>5.8787694182150574E-2</v>
      </c>
    </row>
    <row r="127" spans="1:4" x14ac:dyDescent="0.25">
      <c r="A127" s="184" t="str">
        <v>010534252</v>
      </c>
      <c r="B127" s="184" t="str">
        <v>Produits de voierie en béton</v>
      </c>
      <c r="C127" s="210">
        <v>2.0532741398446186E-2</v>
      </c>
      <c r="D127" s="210">
        <v>5.9508220573257775E-2</v>
      </c>
    </row>
    <row r="128" spans="1:4" x14ac:dyDescent="0.25">
      <c r="A128" s="184" t="str">
        <v>010534698</v>
      </c>
      <c r="B128" s="184" t="str">
        <v>Matériel de distribution et de commande électrique</v>
      </c>
      <c r="C128" s="210">
        <v>1.9976838448176215E-2</v>
      </c>
      <c r="D128" s="210">
        <v>5.6480920654149003E-2</v>
      </c>
    </row>
    <row r="129" spans="1:4" x14ac:dyDescent="0.25">
      <c r="A129" s="184" t="str">
        <v>001711943</v>
      </c>
      <c r="B129" s="184" t="str">
        <v>Transports routiers</v>
      </c>
      <c r="C129" s="210">
        <v>1.7376194613379692E-2</v>
      </c>
      <c r="D129" s="210">
        <v>4.5004500450045226E-2</v>
      </c>
    </row>
    <row r="130" spans="1:4" x14ac:dyDescent="0.25">
      <c r="A130" s="184" t="str">
        <v>010534702</v>
      </c>
      <c r="B130" s="184" t="str">
        <v>Appareils d'éclairage électrique</v>
      </c>
      <c r="C130" s="210">
        <v>1.556806889698592E-2</v>
      </c>
      <c r="D130" s="210">
        <v>3.6273841961852682E-2</v>
      </c>
    </row>
    <row r="131" spans="1:4" x14ac:dyDescent="0.25">
      <c r="A131" s="184" t="str">
        <v>010534330</v>
      </c>
      <c r="B131" s="184" t="str">
        <v>Fils et câbles d'énergie</v>
      </c>
      <c r="C131" s="210">
        <v>1.2977819726285977E-2</v>
      </c>
      <c r="D131" s="210">
        <v>9.5825305073860001E-2</v>
      </c>
    </row>
    <row r="132" spans="1:4" x14ac:dyDescent="0.25">
      <c r="A132" s="184" t="str">
        <v>010534667</v>
      </c>
      <c r="B132" s="184" t="str">
        <v>Éléments en métal pour la construction</v>
      </c>
      <c r="C132" s="210">
        <v>1.251877816725111E-2</v>
      </c>
      <c r="D132" s="210">
        <v>6.9167331737164162E-2</v>
      </c>
    </row>
    <row r="133" spans="1:4" x14ac:dyDescent="0.25">
      <c r="A133" s="184" t="str">
        <v>010534207</v>
      </c>
      <c r="B133" s="184" t="str">
        <v>Tubes, tuyaux en matière plastique</v>
      </c>
      <c r="C133" s="210">
        <v>1.2391573729863659E-2</v>
      </c>
      <c r="D133" s="210">
        <v>7.8066914498141182E-2</v>
      </c>
    </row>
    <row r="134" spans="1:4" x14ac:dyDescent="0.25">
      <c r="A134" s="184" t="str">
        <v>010535345</v>
      </c>
      <c r="B134" s="184" t="str">
        <v>Câbles de fibres optiques</v>
      </c>
      <c r="C134" s="210">
        <v>9.6494049533613069E-3</v>
      </c>
      <c r="D134" s="210">
        <v>1.3956507627393533E-2</v>
      </c>
    </row>
    <row r="135" spans="1:4" x14ac:dyDescent="0.25">
      <c r="A135" s="184" t="str">
        <v>010534625</v>
      </c>
      <c r="B135" s="184" t="str">
        <v>Plaques, feuilles, tubes et profilés en matières plastiques</v>
      </c>
      <c r="C135" s="210">
        <v>9.2098885118760965E-3</v>
      </c>
      <c r="D135" s="210">
        <v>0.10533333333333328</v>
      </c>
    </row>
    <row r="136" spans="1:4" x14ac:dyDescent="0.25">
      <c r="A136" s="184" t="str">
        <v>010534554</v>
      </c>
      <c r="B136" s="184" t="str">
        <v>Autres textiles</v>
      </c>
      <c r="C136" s="210">
        <v>7.1002556092019109E-3</v>
      </c>
      <c r="D136" s="210">
        <v>4.1408782788092902E-2</v>
      </c>
    </row>
    <row r="137" spans="1:4" x14ac:dyDescent="0.25">
      <c r="A137" s="184" t="str">
        <v>010534789</v>
      </c>
      <c r="B137" s="184" t="str">
        <v>Traitement et élimination des déchets non dangereux</v>
      </c>
      <c r="C137" s="210">
        <v>5.5205047318611644E-3</v>
      </c>
      <c r="D137" s="210">
        <v>4.0223616034906096E-2</v>
      </c>
    </row>
    <row r="138" spans="1:4" x14ac:dyDescent="0.25">
      <c r="A138" s="184" t="str">
        <v>001565195</v>
      </c>
      <c r="B138" s="184" t="str">
        <v>Travail activités spécialisées</v>
      </c>
      <c r="C138" s="210">
        <v>2.6631158455392434E-3</v>
      </c>
      <c r="D138" s="210">
        <v>1.4160485502360043E-2</v>
      </c>
    </row>
    <row r="139" spans="1:4" x14ac:dyDescent="0.25">
      <c r="A139" s="184" t="str">
        <v>5540998</v>
      </c>
      <c r="B139" s="184" t="str">
        <v>Travail</v>
      </c>
      <c r="C139" s="210">
        <v>1.8898488120950852E-3</v>
      </c>
      <c r="D139" s="210">
        <v>7.6097295828236877E-3</v>
      </c>
    </row>
    <row r="140" spans="1:4" x14ac:dyDescent="0.25">
      <c r="A140" s="184" t="str">
        <v>010534575</v>
      </c>
      <c r="B140" s="184" t="str">
        <v>Ensemble des produits du sciage</v>
      </c>
      <c r="C140" s="210">
        <v>8.3090984628153564E-4</v>
      </c>
      <c r="D140" s="210">
        <v>7.6802683063163846E-2</v>
      </c>
    </row>
    <row r="141" spans="1:4" x14ac:dyDescent="0.25">
      <c r="A141" s="184" t="str">
        <v>010536480</v>
      </c>
      <c r="B141" s="184" t="str">
        <v>Tôles quarto et autres produits plats en aciers non alliés de qualité</v>
      </c>
      <c r="C141" s="210">
        <v>-9.0187590187607025E-4</v>
      </c>
      <c r="D141" s="210">
        <v>2.506474287828353E-2</v>
      </c>
    </row>
    <row r="142" spans="1:4" x14ac:dyDescent="0.25">
      <c r="A142" s="184">
        <v>10534613</v>
      </c>
      <c r="B142" s="184" t="str">
        <v>Autres produits explosifs</v>
      </c>
      <c r="C142" s="210">
        <v>-7.5698757763976721E-3</v>
      </c>
      <c r="D142" s="210">
        <v>0.16054267947993206</v>
      </c>
    </row>
    <row r="143" spans="1:4" x14ac:dyDescent="0.25">
      <c r="A143" s="184" t="str">
        <v>010536462</v>
      </c>
      <c r="B143" s="184" t="str">
        <v>Acier pour la construction</v>
      </c>
      <c r="C143" s="210">
        <v>-2.1750524109014679E-2</v>
      </c>
      <c r="D143" s="210">
        <v>0.28438962143768598</v>
      </c>
    </row>
    <row r="144" spans="1:4" x14ac:dyDescent="0.25">
      <c r="A144" s="184" t="str">
        <v>001764283</v>
      </c>
      <c r="B144" s="184" t="str">
        <v>Gazole</v>
      </c>
      <c r="C144" s="210">
        <v>-4.0537550043253434E-2</v>
      </c>
      <c r="D144" s="210">
        <v>0.14277836442567171</v>
      </c>
    </row>
    <row r="145" spans="1:4" x14ac:dyDescent="0.25">
      <c r="A145" s="184" t="str">
        <v>010534606</v>
      </c>
      <c r="B145" s="184" t="str">
        <v>Matières plastiques sous formes primaires</v>
      </c>
      <c r="C145" s="210">
        <v>-4.3709616115545469E-2</v>
      </c>
      <c r="D145" s="210">
        <v>0.13808734107241571</v>
      </c>
    </row>
    <row r="146" spans="1:4" x14ac:dyDescent="0.25">
      <c r="A146" s="184" t="str">
        <v>010534267</v>
      </c>
      <c r="B146" s="184" t="str">
        <v>Produits sidérurgiques en acier non allié</v>
      </c>
      <c r="C146" s="210">
        <v>-5.0373134328358105E-2</v>
      </c>
      <c r="D146" s="210">
        <v>0.17319861196162489</v>
      </c>
    </row>
    <row r="147" spans="1:4" x14ac:dyDescent="0.25">
      <c r="A147" s="184" t="str">
        <v>010758171</v>
      </c>
      <c r="B147" s="184" t="str">
        <v>GNR</v>
      </c>
      <c r="C147" s="210">
        <v>-5.712849723571789E-2</v>
      </c>
      <c r="D147" s="210">
        <v>0.179321999161556</v>
      </c>
    </row>
    <row r="148" spans="1:4" x14ac:dyDescent="0.25">
      <c r="A148" s="184" t="str">
        <v>Gazole routier HTT</v>
      </c>
      <c r="B148" s="184" t="str">
        <v>Gazole routier HTT</v>
      </c>
      <c r="C148" s="210">
        <v>-7.3568486780922204E-2</v>
      </c>
      <c r="D148" s="210">
        <v>0.24151290723061747</v>
      </c>
    </row>
    <row r="149" spans="1:4" x14ac:dyDescent="0.25">
      <c r="A149" s="184" t="str">
        <v>010546545</v>
      </c>
      <c r="B149" s="184" t="str">
        <v>Barres crénelées ou nervurées pour béton armé</v>
      </c>
      <c r="C149" s="210">
        <v>-7.5882504509147242E-2</v>
      </c>
      <c r="D149" s="210">
        <v>0.26236159242667578</v>
      </c>
    </row>
    <row r="150" spans="1:4" x14ac:dyDescent="0.25">
      <c r="A150" s="184" t="str">
        <v>010534784</v>
      </c>
      <c r="B150" s="184" t="str">
        <v>Collecte, traitement et élimination des déchets ; récupération de matériaux</v>
      </c>
      <c r="C150" s="210">
        <v>-7.7086781745093313E-2</v>
      </c>
      <c r="D150" s="210">
        <v>7.4666314259283828E-2</v>
      </c>
    </row>
    <row r="151" spans="1:4" x14ac:dyDescent="0.25">
      <c r="A151" s="184" t="str">
        <v>010534598</v>
      </c>
      <c r="B151" s="184" t="str">
        <v>Bitume</v>
      </c>
      <c r="C151" s="210">
        <v>-0.12173117154811708</v>
      </c>
      <c r="D151" s="210">
        <v>0.24652898299201653</v>
      </c>
    </row>
    <row r="152" spans="1:4" x14ac:dyDescent="0.25">
      <c r="A152" s="184" t="str">
        <v>010534769</v>
      </c>
      <c r="B152" s="184" t="str">
        <v>Électricité vendue aux entreprises consommatrices finales</v>
      </c>
      <c r="C152" s="210">
        <v>-0.12578012481997114</v>
      </c>
      <c r="D152" s="210">
        <v>-9.3673824724318289E-2</v>
      </c>
    </row>
    <row r="156" spans="1:4" x14ac:dyDescent="0.25">
      <c r="A156" s="289" t="str">
        <f>"CLASSEMENT DES INDICES SELON LEUR ÉVOLUTION A FIN "&amp;'A MODIFIER'!F4&amp;" PAR RAPPORT À "&amp;UPPER(TEXT(EDATE(DATE4,-12)," mmmmmmmm aaaa"))&amp;" ET "&amp;TEXT(EDATE(DATE4,-24),"aaaa")</f>
        <v>CLASSEMENT DES INDICES SELON LEUR ÉVOLUTION A FIN SEPTEMBRE 2022 PAR RAPPORT À  SEPTEMBRE 2021 ET 2020</v>
      </c>
      <c r="B156" s="290"/>
      <c r="C156" s="290"/>
      <c r="D156" s="290"/>
    </row>
    <row r="158" spans="1:4" x14ac:dyDescent="0.25">
      <c r="A158" s="59" t="str">
        <f>'A MODIFIER'!E17</f>
        <v>*/septembre 2021 = septembre 2022/septembre 2021</v>
      </c>
    </row>
    <row r="159" spans="1:4" x14ac:dyDescent="0.25">
      <c r="A159" s="59" t="str">
        <f>'A MODIFIER'!E18</f>
        <v>*/septembre 2020 = septembre 2022/septembre 2020</v>
      </c>
    </row>
    <row r="161" spans="1:4" x14ac:dyDescent="0.25">
      <c r="A161" s="288"/>
      <c r="B161" s="288"/>
      <c r="C161" s="210" t="str">
        <f>'A MODIFIER'!E15</f>
        <v>*/septembre 2021</v>
      </c>
      <c r="D161" s="210" t="str">
        <f>'A MODIFIER'!E16</f>
        <v>*/septembre 2020</v>
      </c>
    </row>
    <row r="162" spans="1:4" x14ac:dyDescent="0.25">
      <c r="A162" s="9" t="str" cm="1">
        <f t="array" ref="A162:D202">'CALCULS DERNIERES EVOL INDICES'!J161:M201</f>
        <v>010534776</v>
      </c>
      <c r="B162" s="9" t="str">
        <v>Gaz naturel</v>
      </c>
      <c r="C162" s="210">
        <v>2.8989979959919836</v>
      </c>
      <c r="D162" s="210">
        <v>21.260869565217387</v>
      </c>
    </row>
    <row r="163" spans="1:4" x14ac:dyDescent="0.25">
      <c r="A163" s="9" t="str">
        <v>Gazole routier HTT</v>
      </c>
      <c r="B163" s="9" t="str">
        <v>Gazole routier HTT</v>
      </c>
      <c r="C163" s="210">
        <v>0.37602544784865155</v>
      </c>
      <c r="D163" s="210">
        <v>0.92227498746189607</v>
      </c>
    </row>
    <row r="164" spans="1:4" x14ac:dyDescent="0.25">
      <c r="A164" s="9" t="str">
        <v>010758171</v>
      </c>
      <c r="B164" s="9" t="str">
        <v>GNR</v>
      </c>
      <c r="C164" s="210">
        <v>0.34846054532153681</v>
      </c>
      <c r="D164" s="210">
        <v>0.86102171642295633</v>
      </c>
    </row>
    <row r="165" spans="1:4" x14ac:dyDescent="0.25">
      <c r="A165" s="9" t="str">
        <v>010534180</v>
      </c>
      <c r="B165" s="9" t="str">
        <v>Peintures Industries</v>
      </c>
      <c r="C165" s="210">
        <v>0.2872788542544229</v>
      </c>
      <c r="D165" s="210">
        <v>0.35221238938053112</v>
      </c>
    </row>
    <row r="166" spans="1:4" x14ac:dyDescent="0.25">
      <c r="A166" s="9" t="str">
        <v>010534654</v>
      </c>
      <c r="B166" s="9" t="str">
        <v>Tubes, tuyaux, profilés creux et accessoires correspondants en acier</v>
      </c>
      <c r="C166" s="210">
        <v>0.28353140916808139</v>
      </c>
      <c r="D166" s="210">
        <v>0.45105566218809967</v>
      </c>
    </row>
    <row r="167" spans="1:4" x14ac:dyDescent="0.25">
      <c r="A167" s="9" t="str">
        <v>010534638</v>
      </c>
      <c r="B167" s="9" t="str">
        <v>Tuiles, briques et produits de construction en terre cuite</v>
      </c>
      <c r="C167" s="210">
        <v>0.2649572649572649</v>
      </c>
      <c r="D167" s="210">
        <v>0.28944820909970947</v>
      </c>
    </row>
    <row r="168" spans="1:4" x14ac:dyDescent="0.25">
      <c r="A168" s="9" t="str">
        <v>010534642</v>
      </c>
      <c r="B168" s="9" t="str">
        <v>Ciment, chaux et plâtre</v>
      </c>
      <c r="C168" s="210">
        <v>0.26320754716981143</v>
      </c>
      <c r="D168" s="210">
        <v>0.3140333660451422</v>
      </c>
    </row>
    <row r="169" spans="1:4" x14ac:dyDescent="0.25">
      <c r="A169" s="9" t="str">
        <v>010534613</v>
      </c>
      <c r="B169" s="9" t="str">
        <v>Autres produits explosifs</v>
      </c>
      <c r="C169" s="210">
        <v>0.24459358687546606</v>
      </c>
      <c r="D169" s="210">
        <v>0.49820466786355477</v>
      </c>
    </row>
    <row r="170" spans="1:4" x14ac:dyDescent="0.25">
      <c r="A170" s="9" t="str">
        <v>010536462</v>
      </c>
      <c r="B170" s="9" t="str">
        <v>Acier pour la construction</v>
      </c>
      <c r="C170" s="210">
        <v>0.23592630501535305</v>
      </c>
      <c r="D170" s="210">
        <v>1.2570093457943927</v>
      </c>
    </row>
    <row r="171" spans="1:4" x14ac:dyDescent="0.25">
      <c r="A171" s="9" t="str">
        <v>010534662</v>
      </c>
      <c r="B171" s="9" t="str">
        <v>Travaux de fonderie de fonte</v>
      </c>
      <c r="C171" s="210">
        <v>0.22586872586872597</v>
      </c>
      <c r="D171" s="210">
        <v>0.34533898305084731</v>
      </c>
    </row>
    <row r="172" spans="1:4" x14ac:dyDescent="0.25">
      <c r="A172" s="9" t="str">
        <v>010534598</v>
      </c>
      <c r="B172" s="9" t="str">
        <v>Bitume</v>
      </c>
      <c r="C172" s="210">
        <v>0.22580645161290325</v>
      </c>
      <c r="D172" s="210">
        <v>0.4922861150070128</v>
      </c>
    </row>
    <row r="173" spans="1:4" x14ac:dyDescent="0.25">
      <c r="A173" s="9" t="str">
        <v>010534267</v>
      </c>
      <c r="B173" s="9" t="str">
        <v>Produits sidérurgiques en acier non allié</v>
      </c>
      <c r="C173" s="210">
        <v>0.22533333333333339</v>
      </c>
      <c r="D173" s="210">
        <v>0.76222435282837986</v>
      </c>
    </row>
    <row r="174" spans="1:4" x14ac:dyDescent="0.25">
      <c r="A174" s="9" t="str">
        <v>010534606</v>
      </c>
      <c r="B174" s="9" t="str">
        <v>Matières plastiques sous formes primaires</v>
      </c>
      <c r="C174" s="210">
        <v>0.20467836257309946</v>
      </c>
      <c r="D174" s="210">
        <v>0.82300884955752207</v>
      </c>
    </row>
    <row r="175" spans="1:4" x14ac:dyDescent="0.25">
      <c r="A175" s="9" t="str">
        <v>001764283</v>
      </c>
      <c r="B175" s="9" t="str">
        <v>Gazole</v>
      </c>
      <c r="C175" s="210">
        <v>0.19096245075178908</v>
      </c>
      <c r="D175" s="210">
        <v>0.42108797850906643</v>
      </c>
    </row>
    <row r="176" spans="1:4" x14ac:dyDescent="0.25">
      <c r="A176" s="9" t="str">
        <v>010534575</v>
      </c>
      <c r="B176" s="9" t="str">
        <v>Ensemble des produits du sciage</v>
      </c>
      <c r="C176" s="210">
        <v>0.16970138383102684</v>
      </c>
      <c r="D176" s="210">
        <v>0.50233863423760505</v>
      </c>
    </row>
    <row r="177" spans="1:4" x14ac:dyDescent="0.25">
      <c r="A177" s="9" t="str">
        <v>010546545</v>
      </c>
      <c r="B177" s="9" t="str">
        <v>Barres crénelées ou nervurées pour béton armé</v>
      </c>
      <c r="C177" s="210">
        <v>0.1652262328418912</v>
      </c>
      <c r="D177" s="210">
        <v>1.1124423963133641</v>
      </c>
    </row>
    <row r="178" spans="1:4" x14ac:dyDescent="0.25">
      <c r="A178" s="9" t="str">
        <v>010534330</v>
      </c>
      <c r="B178" s="9" t="str">
        <v>Fils et câbles d'énergie</v>
      </c>
      <c r="C178" s="210">
        <v>0.15403225806451615</v>
      </c>
      <c r="D178" s="210">
        <v>0.49373695198329859</v>
      </c>
    </row>
    <row r="179" spans="1:4" x14ac:dyDescent="0.25">
      <c r="A179" s="9" t="str">
        <v>010534645</v>
      </c>
      <c r="B179" s="9" t="str">
        <v>Éléments en béton pour la construction</v>
      </c>
      <c r="C179" s="210">
        <v>0.13597733711048154</v>
      </c>
      <c r="D179" s="210">
        <v>0.1656976744186045</v>
      </c>
    </row>
    <row r="180" spans="1:4" x14ac:dyDescent="0.25">
      <c r="A180" s="9" t="str">
        <v>010534625</v>
      </c>
      <c r="B180" s="9" t="str">
        <v>Plaques, feuilles, tubes et profilés en matières plastiques</v>
      </c>
      <c r="C180" s="210">
        <v>0.13256006628003303</v>
      </c>
      <c r="D180" s="210">
        <v>0.43894736842105253</v>
      </c>
    </row>
    <row r="181" spans="1:4" x14ac:dyDescent="0.25">
      <c r="A181" s="9" t="str">
        <v>010534667</v>
      </c>
      <c r="B181" s="9" t="str">
        <v>Éléments en métal pour la construction</v>
      </c>
      <c r="C181" s="210">
        <v>0.11367380560131779</v>
      </c>
      <c r="D181" s="210">
        <v>0.23245214220601618</v>
      </c>
    </row>
    <row r="182" spans="1:4" x14ac:dyDescent="0.25">
      <c r="A182" s="9" t="str">
        <v>010760506</v>
      </c>
      <c r="B182" s="9" t="str">
        <v>Réseaux d’assainissement</v>
      </c>
      <c r="C182" s="210">
        <v>0.10948530721282279</v>
      </c>
      <c r="D182" s="210">
        <v>0.21201556420233469</v>
      </c>
    </row>
    <row r="183" spans="1:4" x14ac:dyDescent="0.25">
      <c r="A183" s="9" t="str">
        <v>010534696</v>
      </c>
      <c r="B183" s="9" t="str">
        <v>Moteurs, génératrices, transfo. électr., matér. distrib., cmde électr.</v>
      </c>
      <c r="C183" s="210">
        <v>0.10065851364063971</v>
      </c>
      <c r="D183" s="210">
        <v>0.12608277189605377</v>
      </c>
    </row>
    <row r="184" spans="1:4" x14ac:dyDescent="0.25">
      <c r="A184" s="9" t="str">
        <v>010534207</v>
      </c>
      <c r="B184" s="9" t="str">
        <v>Tubes, tuyaux en matière plastique</v>
      </c>
      <c r="C184" s="210">
        <v>9.9675850891409956E-2</v>
      </c>
      <c r="D184" s="210">
        <v>0.39465570400822192</v>
      </c>
    </row>
    <row r="185" spans="1:4" x14ac:dyDescent="0.25">
      <c r="A185" s="9" t="str">
        <v>010534698</v>
      </c>
      <c r="B185" s="9" t="str">
        <v>Matériel de distribution et de commande électrique</v>
      </c>
      <c r="C185" s="210">
        <v>9.3632958801498134E-2</v>
      </c>
      <c r="D185" s="210">
        <v>0.11450381679389321</v>
      </c>
    </row>
    <row r="186" spans="1:4" x14ac:dyDescent="0.25">
      <c r="A186" s="9" t="str">
        <v>010534646</v>
      </c>
      <c r="B186" s="9" t="str">
        <v>Béton prêt à l'emploi</v>
      </c>
      <c r="C186" s="210">
        <v>8.6255924170616005E-2</v>
      </c>
      <c r="D186" s="210">
        <v>7.6056338028168913E-2</v>
      </c>
    </row>
    <row r="187" spans="1:4" x14ac:dyDescent="0.25">
      <c r="A187" s="9" t="str">
        <v>010534252</v>
      </c>
      <c r="B187" s="9" t="str">
        <v>Produits de voierie en béton</v>
      </c>
      <c r="C187" s="210">
        <v>8.3636363636363731E-2</v>
      </c>
      <c r="D187" s="210">
        <v>0.13523809523809516</v>
      </c>
    </row>
    <row r="188" spans="1:4" x14ac:dyDescent="0.25">
      <c r="A188" s="9" t="str">
        <v>010534647</v>
      </c>
      <c r="B188" s="9" t="str">
        <v>Mortiers et bétons secs</v>
      </c>
      <c r="C188" s="210">
        <v>8.3333333333333259E-2</v>
      </c>
      <c r="D188" s="210">
        <v>0.11354581673306763</v>
      </c>
    </row>
    <row r="189" spans="1:4" x14ac:dyDescent="0.25">
      <c r="A189" s="9" t="str">
        <v>010534789</v>
      </c>
      <c r="B189" s="9" t="str">
        <v>Traitement et élimination des déchets non dangereux</v>
      </c>
      <c r="C189" s="210">
        <v>7.8680203045685237E-2</v>
      </c>
      <c r="D189" s="210">
        <v>0.1476147614761476</v>
      </c>
    </row>
    <row r="190" spans="1:4" x14ac:dyDescent="0.25">
      <c r="A190" s="9" t="str">
        <v>001711009</v>
      </c>
      <c r="B190" s="9" t="str">
        <v>Matériel</v>
      </c>
      <c r="C190" s="210">
        <v>7.8268876611418126E-2</v>
      </c>
      <c r="D190" s="210">
        <v>0.12164750957854387</v>
      </c>
    </row>
    <row r="191" spans="1:4" x14ac:dyDescent="0.25">
      <c r="A191" s="9" t="str">
        <v>010534769</v>
      </c>
      <c r="B191" s="9" t="str">
        <v>Électricité vendue aux entreprises consommatrices finales</v>
      </c>
      <c r="C191" s="210">
        <v>7.4439461883408109E-2</v>
      </c>
      <c r="D191" s="210">
        <v>0.10313075506445668</v>
      </c>
    </row>
    <row r="192" spans="1:4" x14ac:dyDescent="0.25">
      <c r="A192" s="9" t="str">
        <v>001711011</v>
      </c>
      <c r="B192" s="9" t="str">
        <v>Frais divers</v>
      </c>
      <c r="C192" s="210">
        <v>7.0208728652751295E-2</v>
      </c>
      <c r="D192" s="210">
        <v>9.5145631067961034E-2</v>
      </c>
    </row>
    <row r="193" spans="1:4" x14ac:dyDescent="0.25">
      <c r="A193" s="9" t="str">
        <v>010534554</v>
      </c>
      <c r="B193" s="9" t="str">
        <v>Autres textiles</v>
      </c>
      <c r="C193" s="210">
        <v>6.9557362240289189E-2</v>
      </c>
      <c r="D193" s="210">
        <v>0.11069418386491559</v>
      </c>
    </row>
    <row r="194" spans="1:4" x14ac:dyDescent="0.25">
      <c r="A194" s="9" t="str">
        <v>010534702</v>
      </c>
      <c r="B194" s="9" t="str">
        <v>Appareils d'éclairage électrique</v>
      </c>
      <c r="C194" s="210">
        <v>6.7357512953367893E-2</v>
      </c>
      <c r="D194" s="210">
        <v>4.674796747967469E-2</v>
      </c>
    </row>
    <row r="195" spans="1:4" x14ac:dyDescent="0.25">
      <c r="A195" s="9" t="str">
        <v>010536067</v>
      </c>
      <c r="B195" s="9" t="str">
        <v>Sables et granulats</v>
      </c>
      <c r="C195" s="210">
        <v>6.0229445506692292E-2</v>
      </c>
      <c r="D195" s="210">
        <v>7.5654704170708076E-2</v>
      </c>
    </row>
    <row r="196" spans="1:4" x14ac:dyDescent="0.25">
      <c r="A196" s="9" t="str">
        <v>001711943</v>
      </c>
      <c r="B196" s="9" t="str">
        <v>Transports routiers</v>
      </c>
      <c r="C196" s="210">
        <v>5.9728506787330327E-2</v>
      </c>
      <c r="D196" s="210">
        <v>7.6286764705882248E-2</v>
      </c>
    </row>
    <row r="197" spans="1:4" x14ac:dyDescent="0.25">
      <c r="A197" s="9" t="str">
        <v>010534784</v>
      </c>
      <c r="B197" s="9" t="str">
        <v>Collecte, traitement et élimination des déchets ; récupération de matériaux</v>
      </c>
      <c r="C197" s="210">
        <v>5.5915721231766691E-2</v>
      </c>
      <c r="D197" s="210">
        <v>0.28882294757665705</v>
      </c>
    </row>
    <row r="198" spans="1:4" x14ac:dyDescent="0.25">
      <c r="A198" s="9" t="str">
        <v>001763781</v>
      </c>
      <c r="B198" s="9" t="str">
        <v>Restaurants et hôtels</v>
      </c>
      <c r="C198" s="210">
        <v>4.4632306153985946E-2</v>
      </c>
      <c r="D198" s="210">
        <v>6.3483250046270534E-2</v>
      </c>
    </row>
    <row r="199" spans="1:4" x14ac:dyDescent="0.25">
      <c r="A199" s="9" t="str">
        <v>010535345</v>
      </c>
      <c r="B199" s="9" t="str">
        <v>Câbles de fibres optiques</v>
      </c>
      <c r="C199" s="210">
        <v>2.34375E-2</v>
      </c>
      <c r="D199" s="210">
        <v>-1.0387157695939675E-2</v>
      </c>
    </row>
    <row r="200" spans="1:4" x14ac:dyDescent="0.25">
      <c r="A200" s="9" t="str">
        <v>001565195</v>
      </c>
      <c r="B200" s="9" t="str">
        <v>Travail activités spécialisées</v>
      </c>
      <c r="C200" s="210">
        <v>1.9496344435418367E-2</v>
      </c>
      <c r="D200" s="210">
        <v>2.3654159869494373E-2</v>
      </c>
    </row>
    <row r="201" spans="1:4" x14ac:dyDescent="0.25">
      <c r="A201" s="9" t="str">
        <v>5540998</v>
      </c>
      <c r="B201" s="9" t="str">
        <v>Travail</v>
      </c>
      <c r="C201" s="210">
        <v>8.1499592502036755E-3</v>
      </c>
      <c r="D201" s="210">
        <v>8.0906148867310179E-4</v>
      </c>
    </row>
    <row r="202" spans="1:4" x14ac:dyDescent="0.25">
      <c r="A202" s="9" t="str">
        <v>010536480</v>
      </c>
      <c r="B202" s="9" t="str">
        <v>Tôles quarto et autres produits plats en aciers non alliés de qualité</v>
      </c>
      <c r="C202" s="210">
        <v>-5.957683741648101E-2</v>
      </c>
      <c r="D202" s="210">
        <v>0.86218302094818089</v>
      </c>
    </row>
    <row r="205" spans="1:4" x14ac:dyDescent="0.25">
      <c r="A205" s="289" t="str">
        <f>"CLASSEMENT DES INDICES SELON LEUR ÉVOLUTION A FIN "&amp;'A MODIFIER'!F4&amp;" PAR RAPPORT À "&amp;UPPER(TEXT(EDATE(DATE4,-1)," mmmmmmmm aaaa"))</f>
        <v>CLASSEMENT DES INDICES SELON LEUR ÉVOLUTION A FIN SEPTEMBRE 2022 PAR RAPPORT À  AOÛT 2022</v>
      </c>
      <c r="B205" s="289"/>
      <c r="C205" s="289"/>
      <c r="D205" s="289"/>
    </row>
    <row r="208" spans="1:4" x14ac:dyDescent="0.25">
      <c r="A208" s="9" t="str" cm="1">
        <f t="array" ref="A208:C248">'CALCULS DERNIERES EVOL INDICES'!J212:L252</f>
        <v>010534776</v>
      </c>
      <c r="B208" s="9" t="str">
        <v>Gaz naturel</v>
      </c>
      <c r="C208" s="210">
        <v>0.18590759478239671</v>
      </c>
    </row>
    <row r="209" spans="1:3" x14ac:dyDescent="0.25">
      <c r="A209" s="9" t="str">
        <v>010534180</v>
      </c>
      <c r="B209" s="9" t="str">
        <v>Peintures Industries</v>
      </c>
      <c r="C209" s="210">
        <v>4.0871934604904681E-2</v>
      </c>
    </row>
    <row r="210" spans="1:3" x14ac:dyDescent="0.25">
      <c r="A210" s="9" t="str">
        <v>010534784</v>
      </c>
      <c r="B210" s="9" t="str">
        <v>Collecte, traitement et élimination des déchets ; récupération de matériaux</v>
      </c>
      <c r="C210" s="210">
        <v>1.8764659890539548E-2</v>
      </c>
    </row>
    <row r="211" spans="1:3" x14ac:dyDescent="0.25">
      <c r="A211" s="9" t="str">
        <v>010534702</v>
      </c>
      <c r="B211" s="9" t="str">
        <v>Appareils d'éclairage électrique</v>
      </c>
      <c r="C211" s="210">
        <v>9.8039215686274161E-3</v>
      </c>
    </row>
    <row r="212" spans="1:3" x14ac:dyDescent="0.25">
      <c r="A212" s="9" t="str">
        <v>010534662</v>
      </c>
      <c r="B212" s="9" t="str">
        <v>Travaux de fonderie de fonte</v>
      </c>
      <c r="C212" s="210">
        <v>9.5389507154213238E-3</v>
      </c>
    </row>
    <row r="213" spans="1:3" x14ac:dyDescent="0.25">
      <c r="A213" s="9" t="str">
        <v>010760506</v>
      </c>
      <c r="B213" s="9" t="str">
        <v>Réseaux d’assainissement</v>
      </c>
      <c r="C213" s="210">
        <v>8.835341365461824E-3</v>
      </c>
    </row>
    <row r="214" spans="1:3" x14ac:dyDescent="0.25">
      <c r="A214" s="9" t="str">
        <v>010534554</v>
      </c>
      <c r="B214" s="9" t="str">
        <v>Autres textiles</v>
      </c>
      <c r="C214" s="210">
        <v>5.0933786078100063E-3</v>
      </c>
    </row>
    <row r="215" spans="1:3" x14ac:dyDescent="0.25">
      <c r="A215" s="9" t="str">
        <v>001711009</v>
      </c>
      <c r="B215" s="9" t="str">
        <v>Matériel</v>
      </c>
      <c r="C215" s="210">
        <v>4.2881646655230643E-3</v>
      </c>
    </row>
    <row r="216" spans="1:3" x14ac:dyDescent="0.25">
      <c r="A216" s="9" t="str">
        <v>010534642</v>
      </c>
      <c r="B216" s="9" t="str">
        <v>Ciment, chaux et plâtre</v>
      </c>
      <c r="C216" s="210">
        <v>3.7481259370315545E-3</v>
      </c>
    </row>
    <row r="217" spans="1:3" x14ac:dyDescent="0.25">
      <c r="A217" s="9" t="str">
        <v>010534667</v>
      </c>
      <c r="B217" s="9" t="str">
        <v>Éléments en métal pour la construction</v>
      </c>
      <c r="C217" s="210">
        <v>2.2238695329872549E-3</v>
      </c>
    </row>
    <row r="218" spans="1:3" x14ac:dyDescent="0.25">
      <c r="A218" s="9" t="str">
        <v>010535345</v>
      </c>
      <c r="B218" s="9" t="str">
        <v>Câbles de fibres optiques</v>
      </c>
      <c r="C218" s="210">
        <v>1.9120458891013214E-3</v>
      </c>
    </row>
    <row r="219" spans="1:3" x14ac:dyDescent="0.25">
      <c r="A219" s="9" t="str">
        <v>010534647</v>
      </c>
      <c r="B219" s="9" t="str">
        <v>Mortiers et bétons secs</v>
      </c>
      <c r="C219" s="210">
        <v>8.9525514771704451E-4</v>
      </c>
    </row>
    <row r="220" spans="1:3" x14ac:dyDescent="0.25">
      <c r="A220" s="9" t="str">
        <v>5540998</v>
      </c>
      <c r="B220" s="9" t="str">
        <v>Travail</v>
      </c>
      <c r="C220" s="210">
        <v>0</v>
      </c>
    </row>
    <row r="221" spans="1:3" x14ac:dyDescent="0.25">
      <c r="A221" s="9" t="str">
        <v>001565195</v>
      </c>
      <c r="B221" s="9" t="str">
        <v>Travail activités spécialisées</v>
      </c>
      <c r="C221" s="210">
        <v>0</v>
      </c>
    </row>
    <row r="222" spans="1:3" x14ac:dyDescent="0.25">
      <c r="A222" s="9" t="str">
        <v>001711943</v>
      </c>
      <c r="B222" s="9" t="str">
        <v>Transports routiers</v>
      </c>
      <c r="C222" s="210">
        <v>0</v>
      </c>
    </row>
    <row r="223" spans="1:3" x14ac:dyDescent="0.25">
      <c r="A223" s="9" t="str">
        <v>010534575</v>
      </c>
      <c r="B223" s="9" t="str">
        <v>Ensemble des produits du sciage</v>
      </c>
      <c r="C223" s="210">
        <v>0</v>
      </c>
    </row>
    <row r="224" spans="1:3" x14ac:dyDescent="0.25">
      <c r="A224" s="9" t="str">
        <v>010534330</v>
      </c>
      <c r="B224" s="9" t="str">
        <v>Fils et câbles d'énergie</v>
      </c>
      <c r="C224" s="210">
        <v>0</v>
      </c>
    </row>
    <row r="225" spans="1:3" x14ac:dyDescent="0.25">
      <c r="A225" s="9" t="str">
        <v>010534789</v>
      </c>
      <c r="B225" s="9" t="str">
        <v>Traitement et élimination des déchets non dangereux</v>
      </c>
      <c r="C225" s="210">
        <v>0</v>
      </c>
    </row>
    <row r="226" spans="1:3" x14ac:dyDescent="0.25">
      <c r="A226" s="9" t="str">
        <v>010536067</v>
      </c>
      <c r="B226" s="9" t="str">
        <v>Sables et granulats</v>
      </c>
      <c r="C226" s="210">
        <v>-1.8001800180017513E-3</v>
      </c>
    </row>
    <row r="227" spans="1:3" x14ac:dyDescent="0.25">
      <c r="A227" s="9" t="str">
        <v>010534638</v>
      </c>
      <c r="B227" s="9" t="str">
        <v>Tuiles, briques et produits de construction en terre cuite</v>
      </c>
      <c r="C227" s="210">
        <v>-5.2277819268111703E-3</v>
      </c>
    </row>
    <row r="228" spans="1:3" x14ac:dyDescent="0.25">
      <c r="A228" s="9" t="str">
        <v>010534696</v>
      </c>
      <c r="B228" s="9" t="str">
        <v>Moteurs, génératrices, transfo. électr., matér. distrib., cmde électr.</v>
      </c>
      <c r="C228" s="210">
        <v>-8.4745762711864181E-3</v>
      </c>
    </row>
    <row r="229" spans="1:3" x14ac:dyDescent="0.25">
      <c r="A229" s="9" t="str">
        <v>010534207</v>
      </c>
      <c r="B229" s="9" t="str">
        <v>Tubes, tuyaux en matière plastique</v>
      </c>
      <c r="C229" s="210">
        <v>-8.7655222790359311E-3</v>
      </c>
    </row>
    <row r="230" spans="1:3" x14ac:dyDescent="0.25">
      <c r="A230" s="9" t="str">
        <v>010534267</v>
      </c>
      <c r="B230" s="9" t="str">
        <v>Produits sidérurgiques en acier non allié</v>
      </c>
      <c r="C230" s="210">
        <v>-1.0231556273559428E-2</v>
      </c>
    </row>
    <row r="231" spans="1:3" x14ac:dyDescent="0.25">
      <c r="A231" s="9" t="str">
        <v>010534598</v>
      </c>
      <c r="B231" s="9" t="str">
        <v>Bitume</v>
      </c>
      <c r="C231" s="210">
        <v>-1.20705663881151E-2</v>
      </c>
    </row>
    <row r="232" spans="1:3" x14ac:dyDescent="0.25">
      <c r="A232" s="9" t="str">
        <v>010534698</v>
      </c>
      <c r="B232" s="9" t="str">
        <v>Matériel de distribution et de commande électrique</v>
      </c>
      <c r="C232" s="210">
        <v>-1.6006739679865212E-2</v>
      </c>
    </row>
    <row r="233" spans="1:3" x14ac:dyDescent="0.25">
      <c r="A233" s="9" t="str">
        <v>010534646</v>
      </c>
      <c r="B233" s="9" t="str">
        <v>Béton prêt à l'emploi</v>
      </c>
      <c r="C233" s="210">
        <v>-1.715265866209259E-2</v>
      </c>
    </row>
    <row r="234" spans="1:3" x14ac:dyDescent="0.25">
      <c r="A234" s="9" t="str">
        <v>010534625</v>
      </c>
      <c r="B234" s="9" t="str">
        <v>Plaques, feuilles, tubes et profilés en matières plastiques</v>
      </c>
      <c r="C234" s="210">
        <v>-1.866475233309417E-2</v>
      </c>
    </row>
    <row r="235" spans="1:3" x14ac:dyDescent="0.25">
      <c r="A235" s="9" t="str">
        <v>010534645</v>
      </c>
      <c r="B235" s="9" t="str">
        <v>Éléments en béton pour la construction</v>
      </c>
      <c r="C235" s="210">
        <v>-1.9559902200489088E-2</v>
      </c>
    </row>
    <row r="236" spans="1:3" x14ac:dyDescent="0.25">
      <c r="A236" s="9" t="str">
        <v>001711011</v>
      </c>
      <c r="B236" s="9" t="str">
        <v>Frais divers</v>
      </c>
      <c r="C236" s="210">
        <v>-2.1682567215958404E-2</v>
      </c>
    </row>
    <row r="237" spans="1:3" x14ac:dyDescent="0.25">
      <c r="A237" s="9" t="str">
        <v>010534769</v>
      </c>
      <c r="B237" s="9" t="str">
        <v>Électricité vendue aux entreprises consommatrices finales</v>
      </c>
      <c r="C237" s="210">
        <v>-2.5223759153783609E-2</v>
      </c>
    </row>
    <row r="238" spans="1:3" x14ac:dyDescent="0.25">
      <c r="A238" s="9" t="str">
        <v>010534606</v>
      </c>
      <c r="B238" s="9" t="str">
        <v>Matières plastiques sous formes primaires</v>
      </c>
      <c r="C238" s="210">
        <v>-3.0588235294117583E-2</v>
      </c>
    </row>
    <row r="239" spans="1:3" x14ac:dyDescent="0.25">
      <c r="A239" s="9" t="str">
        <v>010534613</v>
      </c>
      <c r="B239" s="9" t="str">
        <v>Autres produits explosifs</v>
      </c>
      <c r="C239" s="210">
        <v>-3.1902552204176371E-2</v>
      </c>
    </row>
    <row r="240" spans="1:3" x14ac:dyDescent="0.25">
      <c r="A240" s="9" t="str">
        <v>010534252</v>
      </c>
      <c r="B240" s="9" t="str">
        <v>Produits de voierie en béton</v>
      </c>
      <c r="C240" s="210">
        <v>-3.3252230332522226E-2</v>
      </c>
    </row>
    <row r="241" spans="1:3" x14ac:dyDescent="0.25">
      <c r="A241" s="9" t="str">
        <v>010534654</v>
      </c>
      <c r="B241" s="9" t="str">
        <v>Tubes, tuyaux, profilés creux et accessoires correspondants en acier</v>
      </c>
      <c r="C241" s="210">
        <v>-3.9390088945362223E-2</v>
      </c>
    </row>
    <row r="242" spans="1:3" x14ac:dyDescent="0.25">
      <c r="A242" s="9" t="str">
        <v>010536462</v>
      </c>
      <c r="B242" s="9" t="str">
        <v>Acier pour la construction</v>
      </c>
      <c r="C242" s="210">
        <v>-4.4321329639889107E-2</v>
      </c>
    </row>
    <row r="243" spans="1:3" x14ac:dyDescent="0.25">
      <c r="A243" s="9" t="str">
        <v>001763781</v>
      </c>
      <c r="B243" s="9" t="str">
        <v>Restaurants et hôtels</v>
      </c>
      <c r="C243" s="210">
        <v>-4.7492747617074227E-2</v>
      </c>
    </row>
    <row r="244" spans="1:3" x14ac:dyDescent="0.25">
      <c r="A244" s="9" t="str">
        <v>010546545</v>
      </c>
      <c r="B244" s="9" t="str">
        <v>Barres crénelées ou nervurées pour béton armé</v>
      </c>
      <c r="C244" s="210">
        <v>-4.9751243781094523E-2</v>
      </c>
    </row>
    <row r="245" spans="1:3" x14ac:dyDescent="0.25">
      <c r="A245" s="9" t="str">
        <v>001764283</v>
      </c>
      <c r="B245" s="9" t="str">
        <v>Gazole</v>
      </c>
      <c r="C245" s="210">
        <v>-6.7841409691629995E-2</v>
      </c>
    </row>
    <row r="246" spans="1:3" x14ac:dyDescent="0.25">
      <c r="A246" s="9" t="str">
        <v>010758171</v>
      </c>
      <c r="B246" s="9" t="str">
        <v>GNR</v>
      </c>
      <c r="C246" s="210">
        <v>-7.4563722897937557E-2</v>
      </c>
    </row>
    <row r="247" spans="1:3" x14ac:dyDescent="0.25">
      <c r="A247" s="9" t="str">
        <v>010536480</v>
      </c>
      <c r="B247" s="9" t="str">
        <v>Tôles quarto et autres produits plats en aciers non alliés de qualité</v>
      </c>
      <c r="C247" s="210">
        <v>-0.10729386892177584</v>
      </c>
    </row>
    <row r="248" spans="1:3" x14ac:dyDescent="0.25">
      <c r="A248" s="9" t="str">
        <v>Gazole routier HTT</v>
      </c>
      <c r="B248" s="9" t="str">
        <v>Gazole routier HTT</v>
      </c>
      <c r="C248" s="210">
        <v>-0.1221830609847272</v>
      </c>
    </row>
  </sheetData>
  <mergeCells count="9">
    <mergeCell ref="A111:B111"/>
    <mergeCell ref="A161:B161"/>
    <mergeCell ref="A156:D156"/>
    <mergeCell ref="A205:D205"/>
    <mergeCell ref="A1:D1"/>
    <mergeCell ref="A10:B10"/>
    <mergeCell ref="A56:D56"/>
    <mergeCell ref="A61:B61"/>
    <mergeCell ref="A106:D106"/>
  </mergeCells>
  <conditionalFormatting sqref="C11:D51">
    <cfRule type="colorScale" priority="5">
      <colorScale>
        <cfvo type="min"/>
        <cfvo type="percentile" val="50"/>
        <cfvo type="max"/>
        <color theme="5" tint="0.39997558519241921"/>
        <color theme="0"/>
        <color theme="9"/>
      </colorScale>
    </cfRule>
  </conditionalFormatting>
  <conditionalFormatting sqref="C62:D102">
    <cfRule type="colorScale" priority="4">
      <colorScale>
        <cfvo type="min"/>
        <cfvo type="percentile" val="50"/>
        <cfvo type="max"/>
        <color theme="5" tint="0.39997558519241921"/>
        <color theme="0"/>
        <color theme="9"/>
      </colorScale>
    </cfRule>
  </conditionalFormatting>
  <conditionalFormatting sqref="C112:D152">
    <cfRule type="colorScale" priority="3">
      <colorScale>
        <cfvo type="min"/>
        <cfvo type="percentile" val="50"/>
        <cfvo type="max"/>
        <color theme="5" tint="0.39997558519241921"/>
        <color theme="0"/>
        <color theme="9"/>
      </colorScale>
    </cfRule>
  </conditionalFormatting>
  <conditionalFormatting sqref="C162:D202">
    <cfRule type="colorScale" priority="2">
      <colorScale>
        <cfvo type="min"/>
        <cfvo type="percentile" val="50"/>
        <cfvo type="max"/>
        <color theme="5" tint="0.39997558519241921"/>
        <color theme="0"/>
        <color theme="9"/>
      </colorScale>
    </cfRule>
  </conditionalFormatting>
  <conditionalFormatting sqref="C208:C248">
    <cfRule type="colorScale" priority="1">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E43"/>
  <sheetViews>
    <sheetView showGridLines="0" topLeftCell="A4" workbookViewId="0">
      <selection activeCell="E11" sqref="E11"/>
    </sheetView>
  </sheetViews>
  <sheetFormatPr baseColWidth="10" defaultRowHeight="15" x14ac:dyDescent="0.25"/>
  <cols>
    <col min="1" max="1" width="5.42578125" style="137" bestFit="1" customWidth="1"/>
    <col min="2" max="2" width="66.7109375" bestFit="1" customWidth="1"/>
    <col min="4" max="4" width="15.42578125" bestFit="1" customWidth="1"/>
    <col min="5" max="5" width="61.28515625" bestFit="1" customWidth="1"/>
  </cols>
  <sheetData>
    <row r="1" spans="1:5" ht="18.75" x14ac:dyDescent="0.3">
      <c r="A1" s="292" t="s">
        <v>204</v>
      </c>
      <c r="B1" s="293"/>
      <c r="C1" s="157"/>
      <c r="D1" s="294" t="s">
        <v>205</v>
      </c>
      <c r="E1" s="294"/>
    </row>
    <row r="2" spans="1:5" x14ac:dyDescent="0.25">
      <c r="B2" s="3"/>
      <c r="D2" s="93"/>
      <c r="E2" s="3"/>
    </row>
    <row r="3" spans="1:5" x14ac:dyDescent="0.25">
      <c r="A3" s="176" t="s">
        <v>24</v>
      </c>
      <c r="B3" s="177" t="str">
        <f>HYPERLINK('DEPUIS JANVIER'!A7,'DEPUIS JANVIER'!C7)</f>
        <v>Index général tous travaux</v>
      </c>
      <c r="D3" s="176" t="s">
        <v>56</v>
      </c>
      <c r="E3" s="177" t="str">
        <f>HYPERLINK('DEPUIS JANVIER'!A40,'DEPUIS JANVIER'!C40)</f>
        <v>Matériel</v>
      </c>
    </row>
    <row r="4" spans="1:5" x14ac:dyDescent="0.25">
      <c r="A4" s="176" t="s">
        <v>25</v>
      </c>
      <c r="B4" s="177" t="str">
        <f>HYPERLINK('DEPUIS JANVIER'!A8,'DEPUIS JANVIER'!C8)</f>
        <v>Travaux de génie civil et d’ouvrages d’art neufs ou rénovation</v>
      </c>
      <c r="D4" s="176" t="s">
        <v>57</v>
      </c>
      <c r="E4" s="177" t="str">
        <f>HYPERLINK('DEPUIS JANVIER'!A41,'DEPUIS JANVIER'!C41)</f>
        <v>Travail</v>
      </c>
    </row>
    <row r="5" spans="1:5" x14ac:dyDescent="0.25">
      <c r="A5" s="176" t="s">
        <v>26</v>
      </c>
      <c r="B5" s="177" t="str">
        <f>HYPERLINK('DEPUIS JANVIER'!A9,'DEPUIS JANVIER'!C9)</f>
        <v>Grands terrassements</v>
      </c>
      <c r="D5" s="176" t="s">
        <v>58</v>
      </c>
      <c r="E5" s="177" t="str">
        <f>HYPERLINK('DEPUIS JANVIER'!A42,'DEPUIS JANVIER'!C42)</f>
        <v>Travail activités spécialisées</v>
      </c>
    </row>
    <row r="6" spans="1:5" x14ac:dyDescent="0.25">
      <c r="A6" s="176" t="s">
        <v>27</v>
      </c>
      <c r="B6" s="177" t="str">
        <f>HYPERLINK('DEPUIS JANVIER'!A10,'DEPUIS JANVIER'!C10)</f>
        <v>Travaux à l’explosif</v>
      </c>
      <c r="D6" s="193" t="s">
        <v>280</v>
      </c>
      <c r="E6" s="177" t="str">
        <f>HYPERLINK('DEPUIS JANVIER'!A43,'DEPUIS JANVIER'!C43)</f>
        <v>GNR</v>
      </c>
    </row>
    <row r="7" spans="1:5" x14ac:dyDescent="0.25">
      <c r="A7" s="176" t="s">
        <v>28</v>
      </c>
      <c r="B7" s="177" t="str">
        <f>HYPERLINK('DEPUIS JANVIER'!A11,'DEPUIS JANVIER'!C11)</f>
        <v xml:space="preserve">Fondations et travaux géotechniques </v>
      </c>
      <c r="D7" s="176" t="s">
        <v>59</v>
      </c>
      <c r="E7" s="177" t="str">
        <f>HYPERLINK('DEPUIS JANVIER'!A44,'DEPUIS JANVIER'!C44)</f>
        <v>Gazole</v>
      </c>
    </row>
    <row r="8" spans="1:5" x14ac:dyDescent="0.25">
      <c r="A8" s="176" t="s">
        <v>29</v>
      </c>
      <c r="B8" s="177" t="str">
        <f>HYPERLINK('DEPUIS JANVIER'!A12,'DEPUIS JANVIER'!C12)</f>
        <v xml:space="preserve">Travaux en souterrains traditionnels </v>
      </c>
      <c r="D8" s="176" t="s">
        <v>60</v>
      </c>
      <c r="E8" s="177" t="str">
        <f>HYPERLINK('DEPUIS JANVIER'!A45,'DEPUIS JANVIER'!C45)</f>
        <v>Frais divers</v>
      </c>
    </row>
    <row r="9" spans="1:5" x14ac:dyDescent="0.25">
      <c r="A9" s="176" t="s">
        <v>30</v>
      </c>
      <c r="B9" s="177" t="str">
        <f>HYPERLINK('DEPUIS JANVIER'!A13,'DEPUIS JANVIER'!C13)</f>
        <v xml:space="preserve">Travaux en souterrains avec tunnelier </v>
      </c>
      <c r="D9" s="176" t="s">
        <v>61</v>
      </c>
      <c r="E9" s="177" t="str">
        <f>HYPERLINK('DEPUIS JANVIER'!A46,'DEPUIS JANVIER'!C46)</f>
        <v>Transports routiers</v>
      </c>
    </row>
    <row r="10" spans="1:5" x14ac:dyDescent="0.25">
      <c r="A10" s="176" t="s">
        <v>31</v>
      </c>
      <c r="B10" s="177" t="str">
        <f>HYPERLINK('DEPUIS JANVIER'!A14,'DEPUIS JANVIER'!C14)</f>
        <v>Grands dragages maritimes </v>
      </c>
      <c r="D10" s="176" t="s">
        <v>62</v>
      </c>
      <c r="E10" s="177" t="str">
        <f>HYPERLINK('DEPUIS JANVIER'!A47,'DEPUIS JANVIER'!C47)</f>
        <v>Électricité vendue aux entreprises consommatrices finales</v>
      </c>
    </row>
    <row r="11" spans="1:5" x14ac:dyDescent="0.25">
      <c r="A11" s="176" t="s">
        <v>32</v>
      </c>
      <c r="B11" s="177" t="str">
        <f>HYPERLINK('DEPUIS JANVIER'!A15,'DEPUIS JANVIER'!C15)</f>
        <v>Dragages fluviaux et petits dragages maritimes</v>
      </c>
      <c r="D11" s="176" t="s">
        <v>296</v>
      </c>
      <c r="E11" s="298" t="str">
        <f>HYPERLINK('DEPUIS JANVIER'!A48,'DEPUIS JANVIER'!C48)</f>
        <v>Gaz naturel</v>
      </c>
    </row>
    <row r="12" spans="1:5" x14ac:dyDescent="0.25">
      <c r="A12" s="176" t="s">
        <v>33</v>
      </c>
      <c r="B12" s="177" t="str">
        <f>HYPERLINK('DEPUIS JANVIER'!A16,'DEPUIS JANVIER'!C16)</f>
        <v>Travaux de génie civil, béton et acier pour ouvrages maritimes</v>
      </c>
      <c r="D12" s="176" t="s">
        <v>64</v>
      </c>
      <c r="E12" s="177" t="str">
        <f>HYPERLINK('DEPUIS JANVIER'!A49,'DEPUIS JANVIER'!C49)</f>
        <v>Gazole routier HTT</v>
      </c>
    </row>
    <row r="13" spans="1:5" x14ac:dyDescent="0.25">
      <c r="A13" s="176" t="s">
        <v>34</v>
      </c>
      <c r="B13" s="177" t="str">
        <f>HYPERLINK('DEPUIS JANVIER'!A17,'DEPUIS JANVIER'!C17)</f>
        <v>Travaux d’aménagement et entretien de voirie</v>
      </c>
      <c r="D13" s="176" t="s">
        <v>65</v>
      </c>
      <c r="E13" s="177" t="str">
        <f>HYPERLINK('DEPUIS JANVIER'!A50,'DEPUIS JANVIER'!C50)</f>
        <v>Tubes, tuyaux en matière plastique</v>
      </c>
    </row>
    <row r="14" spans="1:5" x14ac:dyDescent="0.25">
      <c r="A14" s="176" t="s">
        <v>35</v>
      </c>
      <c r="B14" s="177" t="str">
        <f>HYPERLINK('DEPUIS JANVIER'!A18,'DEPUIS JANVIER'!C18)</f>
        <v>Fabrication et mise en œuvre d’enrobés </v>
      </c>
      <c r="D14" s="176" t="s">
        <v>66</v>
      </c>
      <c r="E14" s="177" t="str">
        <f>HYPERLINK('DEPUIS JANVIER'!A51,'DEPUIS JANVIER'!C51)</f>
        <v>Ensemble des produits du sciage</v>
      </c>
    </row>
    <row r="15" spans="1:5" x14ac:dyDescent="0.25">
      <c r="A15" s="176" t="s">
        <v>36</v>
      </c>
      <c r="B15" s="177" t="str">
        <f>HYPERLINK('DEPUIS JANVIER'!A19,'DEPUIS JANVIER'!C19)</f>
        <v xml:space="preserve">Canalisations, assainissement et adduction d’eau avec fourniture de tuyaux </v>
      </c>
      <c r="D15" s="176" t="s">
        <v>67</v>
      </c>
      <c r="E15" s="177" t="str">
        <f>HYPERLINK('DEPUIS JANVIER'!A52,'DEPUIS JANVIER'!C52)</f>
        <v>Béton prêt à l'emploi</v>
      </c>
    </row>
    <row r="16" spans="1:5" x14ac:dyDescent="0.25">
      <c r="A16" s="176" t="s">
        <v>37</v>
      </c>
      <c r="B16" s="177" t="str">
        <f>HYPERLINK('DEPUIS JANVIER'!A20,'DEPUIS JANVIER'!C20)</f>
        <v>Canalisations sans fourniture de tuyaux</v>
      </c>
      <c r="D16" s="176" t="s">
        <v>68</v>
      </c>
      <c r="E16" s="177" t="str">
        <f>HYPERLINK('DEPUIS JANVIER'!A53,'DEPUIS JANVIER'!C53)</f>
        <v>Barres crénelées ou nervurées pour béton armé</v>
      </c>
    </row>
    <row r="17" spans="1:5" x14ac:dyDescent="0.25">
      <c r="A17" s="176" t="s">
        <v>38</v>
      </c>
      <c r="B17" s="177" t="str">
        <f>HYPERLINK('DEPUIS JANVIER'!A21,'DEPUIS JANVIER'!C21)</f>
        <v>Réhabilitation de canalisations non visitables</v>
      </c>
      <c r="D17" s="176" t="s">
        <v>69</v>
      </c>
      <c r="E17" s="177" t="str">
        <f>HYPERLINK('DEPUIS JANVIER'!A54,'DEPUIS JANVIER'!C54)</f>
        <v>Sables et granulats</v>
      </c>
    </row>
    <row r="18" spans="1:5" x14ac:dyDescent="0.25">
      <c r="A18" s="176" t="s">
        <v>39</v>
      </c>
      <c r="B18" s="177" t="str">
        <f>HYPERLINK('DEPUIS JANVIER'!A22,'DEPUIS JANVIER'!C22)</f>
        <v>Réseaux de chauffage et de froid avec fourniture de tuyaux</v>
      </c>
      <c r="D18" s="176" t="s">
        <v>70</v>
      </c>
      <c r="E18" s="177" t="str">
        <f>HYPERLINK('DEPUIS JANVIER'!A55,'DEPUIS JANVIER'!C55)</f>
        <v>Plaques, feuilles, tubes et profilés en matières plastiques</v>
      </c>
    </row>
    <row r="19" spans="1:5" x14ac:dyDescent="0.25">
      <c r="A19" s="176" t="s">
        <v>40</v>
      </c>
      <c r="B19" s="177" t="str">
        <f>HYPERLINK('DEPUIS JANVIER'!A23,'DEPUIS JANVIER'!C23)</f>
        <v>Canalisations grandes distances de transport / transfert  avec fourniture de tuyaux</v>
      </c>
      <c r="D19" s="176" t="s">
        <v>71</v>
      </c>
      <c r="E19" s="177" t="str">
        <f>HYPERLINK('DEPUIS JANVIER'!A56,'DEPUIS JANVIER'!C56)</f>
        <v>Ciment, chaux et plâtre</v>
      </c>
    </row>
    <row r="20" spans="1:5" x14ac:dyDescent="0.25">
      <c r="A20" s="176" t="s">
        <v>41</v>
      </c>
      <c r="B20" s="177" t="str">
        <f>HYPERLINK('DEPUIS JANVIER'!A24,'DEPUIS JANVIER'!C24)</f>
        <v>Réseaux d'énergie et de communication</v>
      </c>
      <c r="D20" s="176">
        <v>10534613</v>
      </c>
      <c r="E20" s="177" t="str">
        <f>HYPERLINK('DEPUIS JANVIER'!A57,'DEPUIS JANVIER'!C57)</f>
        <v>Autres produits chimiques</v>
      </c>
    </row>
    <row r="21" spans="1:5" x14ac:dyDescent="0.25">
      <c r="A21" s="176" t="s">
        <v>42</v>
      </c>
      <c r="B21" s="177" t="str">
        <f>HYPERLINK('DEPUIS JANVIER'!A25,'DEPUIS JANVIER'!C25)</f>
        <v>Éclairage public -Travaux d'installation</v>
      </c>
      <c r="D21" s="176" t="s">
        <v>73</v>
      </c>
      <c r="E21" s="177" t="str">
        <f>HYPERLINK('DEPUIS JANVIER'!A58,'DEPUIS JANVIER'!C58)</f>
        <v>Acier pour la construction</v>
      </c>
    </row>
    <row r="22" spans="1:5" x14ac:dyDescent="0.25">
      <c r="A22" s="176" t="s">
        <v>43</v>
      </c>
      <c r="B22" s="177" t="str">
        <f>HYPERLINK('DEPUIS JANVIER'!A26,'DEPUIS JANVIER'!C26)</f>
        <v>Éclairage public - Travaux  de maintenance</v>
      </c>
      <c r="D22" s="176" t="s">
        <v>74</v>
      </c>
      <c r="E22" s="177" t="str">
        <f>HYPERLINK('DEPUIS JANVIER'!A59,'DEPUIS JANVIER'!C59)</f>
        <v>Bitume</v>
      </c>
    </row>
    <row r="23" spans="1:5" x14ac:dyDescent="0.25">
      <c r="A23" s="176" t="s">
        <v>44</v>
      </c>
      <c r="B23" s="177" t="str">
        <f>HYPERLINK('DEPUIS JANVIER'!A27,'DEPUIS JANVIER'!C27)</f>
        <v>Réseaux de communication en fibre optique</v>
      </c>
      <c r="D23" s="176" t="s">
        <v>75</v>
      </c>
      <c r="E23" s="177" t="str">
        <f>HYPERLINK('DEPUIS JANVIER'!A60,'DEPUIS JANVIER'!C60)</f>
        <v>Produits de voierie en béton</v>
      </c>
    </row>
    <row r="24" spans="1:5" x14ac:dyDescent="0.25">
      <c r="A24" s="176" t="s">
        <v>45</v>
      </c>
      <c r="B24" s="177" t="str">
        <f>HYPERLINK('DEPUIS JANVIER'!A28,'DEPUIS JANVIER'!C28)</f>
        <v xml:space="preserve">Charpentes et ouvrages d’art métalliques </v>
      </c>
      <c r="D24" s="176" t="s">
        <v>76</v>
      </c>
      <c r="E24" s="177" t="str">
        <f>HYPERLINK('DEPUIS JANVIER'!A61,'DEPUIS JANVIER'!C61)</f>
        <v>Mortiers et bétons secs</v>
      </c>
    </row>
    <row r="25" spans="1:5" x14ac:dyDescent="0.25">
      <c r="A25" s="176" t="s">
        <v>46</v>
      </c>
      <c r="B25" s="177" t="str">
        <f>HYPERLINK('DEPUIS JANVIER'!A29,'DEPUIS JANVIER'!C29)</f>
        <v>Travaux immergés par scaphandriers</v>
      </c>
      <c r="D25" s="176" t="s">
        <v>77</v>
      </c>
      <c r="E25" s="177" t="str">
        <f>HYPERLINK('DEPUIS JANVIER'!A62,'DEPUIS JANVIER'!C62)</f>
        <v>Travaux de fonderie de fonte</v>
      </c>
    </row>
    <row r="26" spans="1:5" x14ac:dyDescent="0.25">
      <c r="D26" s="176" t="s">
        <v>78</v>
      </c>
      <c r="E26" s="177" t="str">
        <f>HYPERLINK('DEPUIS JANVIER'!A63,'DEPUIS JANVIER'!C63)</f>
        <v>Tuiles, briques et produits de construction en terre cuite</v>
      </c>
    </row>
    <row r="27" spans="1:5" x14ac:dyDescent="0.25">
      <c r="D27" s="176">
        <v>10760506</v>
      </c>
      <c r="E27" s="177" t="str">
        <f>HYPERLINK('DEPUIS JANVIER'!A64,'DEPUIS JANVIER'!C64)</f>
        <v>Réseaux d’assainissement</v>
      </c>
    </row>
    <row r="28" spans="1:5" x14ac:dyDescent="0.25">
      <c r="D28" s="176">
        <v>10534554</v>
      </c>
      <c r="E28" s="177" t="str">
        <f>HYPERLINK('DEPUIS JANVIER'!A65,'DEPUIS JANVIER'!C65)</f>
        <v>Autres textiles</v>
      </c>
    </row>
    <row r="29" spans="1:5" x14ac:dyDescent="0.25">
      <c r="D29" s="176" t="s">
        <v>81</v>
      </c>
      <c r="E29" s="177" t="str">
        <f>HYPERLINK('DEPUIS JANVIER'!A66,'DEPUIS JANVIER'!C66)</f>
        <v>Matières plastiques sous formes primaires</v>
      </c>
    </row>
    <row r="30" spans="1:5" x14ac:dyDescent="0.25">
      <c r="D30" s="176" t="s">
        <v>82</v>
      </c>
      <c r="E30" s="177" t="str">
        <f>HYPERLINK('DEPUIS JANVIER'!A67,'DEPUIS JANVIER'!C67)</f>
        <v>Tubes, tuyaux, profilés creux et accessoires correspondants en acier</v>
      </c>
    </row>
    <row r="31" spans="1:5" x14ac:dyDescent="0.25">
      <c r="D31" s="176" t="s">
        <v>83</v>
      </c>
      <c r="E31" s="177" t="str">
        <f>HYPERLINK('DEPUIS JANVIER'!A68,'DEPUIS JANVIER'!C68)</f>
        <v>Éléments en béton pour la construction</v>
      </c>
    </row>
    <row r="32" spans="1:5" x14ac:dyDescent="0.25">
      <c r="D32" s="176" t="s">
        <v>84</v>
      </c>
      <c r="E32" s="177" t="str">
        <f>HYPERLINK('DEPUIS JANVIER'!A69,'DEPUIS JANVIER'!C69)</f>
        <v>Fils et câbles d'énergie</v>
      </c>
    </row>
    <row r="33" spans="4:5" x14ac:dyDescent="0.25">
      <c r="D33" s="176" t="s">
        <v>85</v>
      </c>
      <c r="E33" s="177" t="str">
        <f>HYPERLINK('DEPUIS JANVIER'!A70,'DEPUIS JANVIER'!C70)</f>
        <v>Moteurs, génératrices, transfo. électr., matér. distrib., cmde électr.</v>
      </c>
    </row>
    <row r="34" spans="4:5" x14ac:dyDescent="0.25">
      <c r="D34" s="176" t="s">
        <v>86</v>
      </c>
      <c r="E34" s="177" t="str">
        <f>HYPERLINK('DEPUIS JANVIER'!A71,'DEPUIS JANVIER'!C71)</f>
        <v>Matériel de distribution et de commande électrique</v>
      </c>
    </row>
    <row r="35" spans="4:5" x14ac:dyDescent="0.25">
      <c r="D35" s="176" t="s">
        <v>87</v>
      </c>
      <c r="E35" s="177" t="str">
        <f>HYPERLINK('DEPUIS JANVIER'!A72,'DEPUIS JANVIER'!C72)</f>
        <v>Appareils d'éclairage électrique</v>
      </c>
    </row>
    <row r="36" spans="4:5" x14ac:dyDescent="0.25">
      <c r="D36" s="176" t="s">
        <v>88</v>
      </c>
      <c r="E36" s="177" t="str">
        <f>HYPERLINK('DEPUIS JANVIER'!A73,'DEPUIS JANVIER'!C73)</f>
        <v>Câbles de fibres optiques</v>
      </c>
    </row>
    <row r="37" spans="4:5" x14ac:dyDescent="0.25">
      <c r="D37" s="176" t="s">
        <v>89</v>
      </c>
      <c r="E37" s="177" t="str">
        <f>HYPERLINK('DEPUIS JANVIER'!A74,'DEPUIS JANVIER'!C74)</f>
        <v>Peintures Industries</v>
      </c>
    </row>
    <row r="38" spans="4:5" x14ac:dyDescent="0.25">
      <c r="D38" s="176" t="s">
        <v>90</v>
      </c>
      <c r="E38" s="177" t="str">
        <f>HYPERLINK('DEPUIS JANVIER'!A75,'DEPUIS JANVIER'!C75)</f>
        <v>Produits sidérurgiques en acier non allié</v>
      </c>
    </row>
    <row r="39" spans="4:5" x14ac:dyDescent="0.25">
      <c r="D39" s="176" t="s">
        <v>91</v>
      </c>
      <c r="E39" s="177" t="str">
        <f>HYPERLINK('DEPUIS JANVIER'!A76,'DEPUIS JANVIER'!C76)</f>
        <v>Tôles quarto et autres produits plats en aciers non alliés de qualité</v>
      </c>
    </row>
    <row r="40" spans="4:5" x14ac:dyDescent="0.25">
      <c r="D40" s="176" t="s">
        <v>92</v>
      </c>
      <c r="E40" s="177" t="str">
        <f>HYPERLINK('DEPUIS JANVIER'!A77,'DEPUIS JANVIER'!C77)</f>
        <v>Éléments en métal pour la construction</v>
      </c>
    </row>
    <row r="41" spans="4:5" x14ac:dyDescent="0.25">
      <c r="D41" s="176" t="s">
        <v>93</v>
      </c>
      <c r="E41" s="177" t="str">
        <f>HYPERLINK('DEPUIS JANVIER'!A78,'DEPUIS JANVIER'!C78)</f>
        <v>Restaurants et hôtels</v>
      </c>
    </row>
    <row r="42" spans="4:5" x14ac:dyDescent="0.25">
      <c r="D42" s="176" t="s">
        <v>94</v>
      </c>
      <c r="E42" s="177" t="str">
        <f>HYPERLINK('DEPUIS JANVIER'!A79,'DEPUIS JANVIER'!C79)</f>
        <v>Traitement et élimination des déchets non dangereux</v>
      </c>
    </row>
    <row r="43" spans="4:5" x14ac:dyDescent="0.25">
      <c r="D43" s="176" t="s">
        <v>95</v>
      </c>
      <c r="E43" s="177" t="str">
        <f>HYPERLINK('DEPUIS JANVIER'!A80,'DEPUIS JANVIER'!C80)</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88"/>
  <sheetViews>
    <sheetView topLeftCell="A58" workbookViewId="0">
      <selection activeCell="F62" sqref="F62"/>
    </sheetView>
  </sheetViews>
  <sheetFormatPr baseColWidth="10" defaultRowHeight="15" x14ac:dyDescent="0.25"/>
  <sheetData>
    <row r="1" spans="1:8" x14ac:dyDescent="0.25">
      <c r="B1" s="44" t="s">
        <v>63</v>
      </c>
      <c r="C1" s="44"/>
      <c r="D1" s="44" t="s">
        <v>63</v>
      </c>
      <c r="E1" s="44" t="s">
        <v>64</v>
      </c>
      <c r="H1" s="219" t="str">
        <f>HYPERLINK('DEPUIS JANVIER'!A49, "Notice")</f>
        <v>Notice</v>
      </c>
    </row>
    <row r="2" spans="1:8" x14ac:dyDescent="0.25">
      <c r="A2" s="1">
        <v>43009</v>
      </c>
      <c r="B2">
        <v>295.7</v>
      </c>
      <c r="C2">
        <v>100</v>
      </c>
      <c r="D2" t="s">
        <v>174</v>
      </c>
    </row>
    <row r="3" spans="1:8" x14ac:dyDescent="0.25">
      <c r="A3" s="1">
        <f>EDATE(A2,1)</f>
        <v>43040</v>
      </c>
      <c r="B3">
        <v>322.8</v>
      </c>
      <c r="C3" s="30">
        <f>C2*(1+(B3/B2-1))</f>
        <v>109.16469394656747</v>
      </c>
      <c r="D3" t="s">
        <v>175</v>
      </c>
    </row>
    <row r="4" spans="1:8" x14ac:dyDescent="0.25">
      <c r="A4" s="1">
        <f t="shared" ref="A4:A67" si="0">EDATE(A3,1)</f>
        <v>43070</v>
      </c>
      <c r="B4">
        <v>319.8</v>
      </c>
      <c r="C4" s="30">
        <f t="shared" ref="C4:C33" si="1">C3*(1+(B4/B3-1))</f>
        <v>108.1501521812648</v>
      </c>
      <c r="D4" t="s">
        <v>176</v>
      </c>
    </row>
    <row r="5" spans="1:8" x14ac:dyDescent="0.25">
      <c r="A5" s="1">
        <f t="shared" si="0"/>
        <v>43101</v>
      </c>
      <c r="B5">
        <v>324.89999999999998</v>
      </c>
      <c r="C5" s="30">
        <f t="shared" si="1"/>
        <v>109.87487318227933</v>
      </c>
      <c r="D5" t="s">
        <v>177</v>
      </c>
    </row>
    <row r="6" spans="1:8" x14ac:dyDescent="0.25">
      <c r="A6" s="1">
        <f t="shared" si="0"/>
        <v>43132</v>
      </c>
      <c r="B6">
        <v>321</v>
      </c>
      <c r="C6" s="30">
        <f t="shared" si="1"/>
        <v>108.55596888738587</v>
      </c>
    </row>
    <row r="7" spans="1:8" x14ac:dyDescent="0.25">
      <c r="A7" s="1">
        <f t="shared" si="0"/>
        <v>43160</v>
      </c>
      <c r="B7">
        <v>306.2</v>
      </c>
      <c r="C7" s="30">
        <f t="shared" si="1"/>
        <v>103.55089617855936</v>
      </c>
    </row>
    <row r="8" spans="1:8" x14ac:dyDescent="0.25">
      <c r="A8" s="1">
        <f t="shared" si="0"/>
        <v>43191</v>
      </c>
      <c r="B8">
        <v>325</v>
      </c>
      <c r="C8" s="30">
        <f t="shared" si="1"/>
        <v>109.90869124112277</v>
      </c>
    </row>
    <row r="9" spans="1:8" x14ac:dyDescent="0.25">
      <c r="A9" s="1">
        <f t="shared" si="0"/>
        <v>43221</v>
      </c>
      <c r="B9">
        <v>337.8</v>
      </c>
      <c r="C9" s="30">
        <f t="shared" si="1"/>
        <v>114.23740277308083</v>
      </c>
    </row>
    <row r="10" spans="1:8" x14ac:dyDescent="0.25">
      <c r="A10" s="1">
        <f t="shared" si="0"/>
        <v>43252</v>
      </c>
      <c r="B10">
        <v>383</v>
      </c>
      <c r="C10" s="30">
        <f t="shared" si="1"/>
        <v>129.52316537030777</v>
      </c>
    </row>
    <row r="11" spans="1:8" x14ac:dyDescent="0.25">
      <c r="A11" s="1">
        <f t="shared" si="0"/>
        <v>43282</v>
      </c>
      <c r="B11">
        <v>391.9</v>
      </c>
      <c r="C11" s="30">
        <f t="shared" si="1"/>
        <v>132.53297260737236</v>
      </c>
    </row>
    <row r="12" spans="1:8" x14ac:dyDescent="0.25">
      <c r="A12" s="1">
        <f t="shared" si="0"/>
        <v>43313</v>
      </c>
      <c r="B12">
        <v>387.4</v>
      </c>
      <c r="C12" s="30">
        <f t="shared" si="1"/>
        <v>131.01115995941836</v>
      </c>
    </row>
    <row r="13" spans="1:8" x14ac:dyDescent="0.25">
      <c r="A13" s="1">
        <f t="shared" si="0"/>
        <v>43344</v>
      </c>
      <c r="B13">
        <v>392.7</v>
      </c>
      <c r="C13" s="30">
        <f t="shared" si="1"/>
        <v>132.80351707811977</v>
      </c>
    </row>
    <row r="14" spans="1:8" x14ac:dyDescent="0.25">
      <c r="A14" s="1">
        <f t="shared" si="0"/>
        <v>43374</v>
      </c>
      <c r="B14">
        <v>430.2</v>
      </c>
      <c r="C14" s="30">
        <f t="shared" si="1"/>
        <v>145.48528914440317</v>
      </c>
    </row>
    <row r="15" spans="1:8" x14ac:dyDescent="0.25">
      <c r="A15" s="1">
        <f t="shared" si="0"/>
        <v>43405</v>
      </c>
      <c r="B15">
        <v>381</v>
      </c>
      <c r="C15" s="30">
        <f t="shared" si="1"/>
        <v>128.84680419343934</v>
      </c>
    </row>
    <row r="16" spans="1:8" x14ac:dyDescent="0.25">
      <c r="A16" s="1">
        <f t="shared" si="0"/>
        <v>43435</v>
      </c>
      <c r="B16">
        <v>325.39999999999998</v>
      </c>
      <c r="C16" s="30">
        <f t="shared" si="1"/>
        <v>110.04396347649647</v>
      </c>
    </row>
    <row r="17" spans="1:5" x14ac:dyDescent="0.25">
      <c r="A17" s="1">
        <f t="shared" si="0"/>
        <v>43466</v>
      </c>
      <c r="B17">
        <v>330.7</v>
      </c>
      <c r="C17" s="30">
        <f t="shared" si="1"/>
        <v>111.83632059519786</v>
      </c>
    </row>
    <row r="18" spans="1:5" x14ac:dyDescent="0.25">
      <c r="A18" s="1">
        <f t="shared" si="0"/>
        <v>43497</v>
      </c>
      <c r="B18">
        <v>372.1</v>
      </c>
      <c r="C18" s="30">
        <f t="shared" si="1"/>
        <v>125.83699695637475</v>
      </c>
    </row>
    <row r="19" spans="1:5" x14ac:dyDescent="0.25">
      <c r="A19" s="1">
        <f t="shared" si="0"/>
        <v>43525</v>
      </c>
      <c r="B19">
        <v>380.8</v>
      </c>
      <c r="C19" s="30">
        <f t="shared" si="1"/>
        <v>128.77916807575249</v>
      </c>
    </row>
    <row r="20" spans="1:5" x14ac:dyDescent="0.25">
      <c r="A20" s="1">
        <f t="shared" si="0"/>
        <v>43556</v>
      </c>
      <c r="B20">
        <v>392.7</v>
      </c>
      <c r="C20" s="30">
        <f t="shared" si="1"/>
        <v>132.80351707811977</v>
      </c>
    </row>
    <row r="21" spans="1:5" x14ac:dyDescent="0.25">
      <c r="A21" s="1">
        <f t="shared" si="0"/>
        <v>43586</v>
      </c>
      <c r="B21">
        <v>382.1</v>
      </c>
      <c r="C21" s="30">
        <f t="shared" si="1"/>
        <v>129.21880284071699</v>
      </c>
    </row>
    <row r="22" spans="1:5" x14ac:dyDescent="0.25">
      <c r="A22" s="1">
        <f t="shared" si="0"/>
        <v>43617</v>
      </c>
      <c r="B22">
        <v>347.9</v>
      </c>
      <c r="C22" s="30">
        <f t="shared" si="1"/>
        <v>117.65302671626651</v>
      </c>
    </row>
    <row r="23" spans="1:5" x14ac:dyDescent="0.25">
      <c r="A23" s="1">
        <f t="shared" si="0"/>
        <v>43647</v>
      </c>
      <c r="B23">
        <v>375.3</v>
      </c>
      <c r="C23" s="30">
        <f t="shared" si="1"/>
        <v>126.91917483936426</v>
      </c>
    </row>
    <row r="24" spans="1:5" x14ac:dyDescent="0.25">
      <c r="A24" s="1">
        <f t="shared" si="0"/>
        <v>43678</v>
      </c>
      <c r="B24">
        <v>304.8</v>
      </c>
      <c r="C24" s="30">
        <f t="shared" si="1"/>
        <v>103.07744335475147</v>
      </c>
    </row>
    <row r="25" spans="1:5" x14ac:dyDescent="0.25">
      <c r="A25" s="1">
        <f t="shared" si="0"/>
        <v>43709</v>
      </c>
      <c r="B25">
        <v>341.8</v>
      </c>
      <c r="C25" s="30">
        <f t="shared" si="1"/>
        <v>115.59012512681774</v>
      </c>
    </row>
    <row r="26" spans="1:5" x14ac:dyDescent="0.25">
      <c r="A26" s="1">
        <f t="shared" si="0"/>
        <v>43739</v>
      </c>
      <c r="B26">
        <v>291.7</v>
      </c>
      <c r="C26" s="30">
        <f t="shared" si="1"/>
        <v>98.647277646263106</v>
      </c>
    </row>
    <row r="27" spans="1:5" x14ac:dyDescent="0.25">
      <c r="A27" s="1">
        <f t="shared" si="0"/>
        <v>43770</v>
      </c>
      <c r="B27">
        <v>265.8</v>
      </c>
      <c r="C27" s="30">
        <f t="shared" si="1"/>
        <v>89.888400405816711</v>
      </c>
    </row>
    <row r="28" spans="1:5" x14ac:dyDescent="0.25">
      <c r="A28" s="1">
        <f t="shared" si="0"/>
        <v>43800</v>
      </c>
      <c r="B28">
        <v>256.10000000000002</v>
      </c>
      <c r="C28" s="30">
        <f t="shared" si="1"/>
        <v>86.608048698004751</v>
      </c>
    </row>
    <row r="29" spans="1:5" x14ac:dyDescent="0.25">
      <c r="A29" s="1">
        <f t="shared" si="0"/>
        <v>43831</v>
      </c>
      <c r="B29">
        <v>285.10000000000002</v>
      </c>
      <c r="C29" s="30">
        <f>C28*(1+(B29/B28-1))</f>
        <v>96.41528576259725</v>
      </c>
      <c r="D29" s="43">
        <v>631.9</v>
      </c>
      <c r="E29" s="31">
        <v>0.61619999999999997</v>
      </c>
    </row>
    <row r="30" spans="1:5" x14ac:dyDescent="0.25">
      <c r="A30" s="1">
        <f t="shared" si="0"/>
        <v>43862</v>
      </c>
      <c r="B30">
        <v>277.60000000000002</v>
      </c>
      <c r="C30" s="30">
        <f t="shared" si="1"/>
        <v>93.878931349340561</v>
      </c>
      <c r="D30" s="43">
        <v>559.73</v>
      </c>
      <c r="E30" s="31">
        <v>0.55640000000000001</v>
      </c>
    </row>
    <row r="31" spans="1:5" x14ac:dyDescent="0.25">
      <c r="A31" s="1">
        <f t="shared" si="0"/>
        <v>43891</v>
      </c>
      <c r="B31">
        <v>199.8</v>
      </c>
      <c r="C31" s="30">
        <f t="shared" si="1"/>
        <v>67.568481569157939</v>
      </c>
      <c r="D31" s="43">
        <v>414.19</v>
      </c>
      <c r="E31" s="31">
        <v>0.46560000000000001</v>
      </c>
    </row>
    <row r="32" spans="1:5" x14ac:dyDescent="0.25">
      <c r="A32" s="1">
        <f t="shared" si="0"/>
        <v>43922</v>
      </c>
      <c r="B32">
        <v>150.69999999999999</v>
      </c>
      <c r="C32" s="30">
        <f t="shared" si="1"/>
        <v>50.96381467703754</v>
      </c>
      <c r="D32" s="43">
        <v>359.81</v>
      </c>
      <c r="E32" s="31">
        <v>0.40360000000000001</v>
      </c>
    </row>
    <row r="33" spans="1:5" x14ac:dyDescent="0.25">
      <c r="A33" s="1">
        <f t="shared" si="0"/>
        <v>43952</v>
      </c>
      <c r="B33">
        <v>163.80000000000001</v>
      </c>
      <c r="C33" s="30">
        <f t="shared" si="1"/>
        <v>55.393980385525879</v>
      </c>
      <c r="D33" s="43">
        <v>380.71</v>
      </c>
      <c r="E33" s="31">
        <v>0.3654</v>
      </c>
    </row>
    <row r="34" spans="1:5" x14ac:dyDescent="0.25">
      <c r="A34" s="1">
        <f t="shared" si="0"/>
        <v>43983</v>
      </c>
      <c r="B34">
        <v>221</v>
      </c>
      <c r="C34" s="30">
        <f>C33*(1+(B34/B33-1))</f>
        <v>74.737910043963481</v>
      </c>
      <c r="D34" s="43">
        <v>434.36</v>
      </c>
      <c r="E34" s="31">
        <v>0.40060000000000001</v>
      </c>
    </row>
    <row r="35" spans="1:5" x14ac:dyDescent="0.25">
      <c r="A35" s="1">
        <f t="shared" si="0"/>
        <v>44013</v>
      </c>
      <c r="C35" s="42">
        <f>C34*(1+(D35/D34-1))</f>
        <v>76.962703249756942</v>
      </c>
      <c r="D35" s="43">
        <v>447.29</v>
      </c>
      <c r="E35" s="31">
        <v>0.42380000000000001</v>
      </c>
    </row>
    <row r="36" spans="1:5" x14ac:dyDescent="0.25">
      <c r="A36" s="1">
        <f t="shared" si="0"/>
        <v>44044</v>
      </c>
      <c r="C36" s="42">
        <f t="shared" ref="C36:C46" si="2">C35*(1+(D36/D35-1))</f>
        <v>78.186081416283741</v>
      </c>
      <c r="D36" s="43">
        <v>454.4</v>
      </c>
      <c r="E36" s="31">
        <v>0.41949999999999998</v>
      </c>
    </row>
    <row r="37" spans="1:5" x14ac:dyDescent="0.25">
      <c r="A37" s="1">
        <f t="shared" si="0"/>
        <v>44075</v>
      </c>
      <c r="C37" s="42">
        <f>C36*(1+(D37/D36-1))</f>
        <v>75.797826992740568</v>
      </c>
      <c r="D37" s="43">
        <v>440.52</v>
      </c>
      <c r="E37" s="31">
        <v>0.3947</v>
      </c>
    </row>
    <row r="38" spans="1:5" x14ac:dyDescent="0.25">
      <c r="A38" s="1">
        <f t="shared" si="0"/>
        <v>44105</v>
      </c>
      <c r="C38" s="42">
        <f t="shared" si="2"/>
        <v>77.969280222215701</v>
      </c>
      <c r="D38" s="43">
        <v>453.14</v>
      </c>
      <c r="E38" s="31">
        <v>0.39250000000000002</v>
      </c>
    </row>
    <row r="39" spans="1:5" x14ac:dyDescent="0.25">
      <c r="A39" s="1">
        <f t="shared" si="0"/>
        <v>44136</v>
      </c>
      <c r="C39" s="42">
        <f t="shared" si="2"/>
        <v>80.93739180767102</v>
      </c>
      <c r="D39" s="43">
        <v>470.39</v>
      </c>
      <c r="E39" s="31">
        <v>0.40450000000000003</v>
      </c>
    </row>
    <row r="40" spans="1:5" x14ac:dyDescent="0.25">
      <c r="A40" s="1">
        <f t="shared" si="0"/>
        <v>44166</v>
      </c>
      <c r="C40" s="42">
        <f t="shared" si="2"/>
        <v>84.005300768173541</v>
      </c>
      <c r="D40" s="43">
        <v>488.22</v>
      </c>
      <c r="E40" s="31">
        <v>0.43840000000000001</v>
      </c>
    </row>
    <row r="41" spans="1:5" x14ac:dyDescent="0.25">
      <c r="A41" s="1">
        <f t="shared" si="0"/>
        <v>44197</v>
      </c>
      <c r="C41" s="42">
        <f t="shared" si="2"/>
        <v>87.475840517659549</v>
      </c>
      <c r="D41" s="43">
        <v>508.39</v>
      </c>
      <c r="E41" s="31">
        <v>0.4738</v>
      </c>
    </row>
    <row r="42" spans="1:5" x14ac:dyDescent="0.25">
      <c r="A42" s="1">
        <f t="shared" si="0"/>
        <v>44228</v>
      </c>
      <c r="C42" s="42">
        <f t="shared" si="2"/>
        <v>96.424912028356985</v>
      </c>
      <c r="D42" s="43">
        <v>560.4</v>
      </c>
      <c r="E42" s="31">
        <v>0.51580000000000004</v>
      </c>
    </row>
    <row r="43" spans="1:5" x14ac:dyDescent="0.25">
      <c r="A43" s="1">
        <f t="shared" si="0"/>
        <v>44256</v>
      </c>
      <c r="C43" s="42">
        <f t="shared" si="2"/>
        <v>99.707901538530166</v>
      </c>
      <c r="D43" s="43">
        <v>579.48</v>
      </c>
      <c r="E43" s="31">
        <v>0.54449999999999998</v>
      </c>
    </row>
    <row r="44" spans="1:5" x14ac:dyDescent="0.25">
      <c r="A44" s="1">
        <f t="shared" si="0"/>
        <v>44287</v>
      </c>
      <c r="C44" s="42">
        <f t="shared" si="2"/>
        <v>97.252541983489749</v>
      </c>
      <c r="D44" s="43">
        <v>565.21</v>
      </c>
      <c r="E44" s="31">
        <v>0.53620000000000001</v>
      </c>
    </row>
    <row r="45" spans="1:5" x14ac:dyDescent="0.25">
      <c r="A45" s="1">
        <f t="shared" si="0"/>
        <v>44317</v>
      </c>
      <c r="C45" s="42">
        <f t="shared" si="2"/>
        <v>96.963473724732353</v>
      </c>
      <c r="D45" s="43">
        <v>563.53</v>
      </c>
      <c r="E45" s="31">
        <v>0.54990000000000006</v>
      </c>
    </row>
    <row r="46" spans="1:5" x14ac:dyDescent="0.25">
      <c r="A46" s="1">
        <f t="shared" si="0"/>
        <v>44348</v>
      </c>
      <c r="C46" s="42">
        <f t="shared" si="2"/>
        <v>100.23097743532924</v>
      </c>
      <c r="D46" s="43">
        <v>582.52</v>
      </c>
      <c r="E46" s="31">
        <v>0.57010000000000005</v>
      </c>
    </row>
    <row r="47" spans="1:5" x14ac:dyDescent="0.25">
      <c r="A47" s="1">
        <f t="shared" si="0"/>
        <v>44378</v>
      </c>
      <c r="C47" s="42">
        <f>C46*(1+(D47/D46-1))</f>
        <v>104.68228449131354</v>
      </c>
      <c r="D47" s="43">
        <v>608.39</v>
      </c>
      <c r="E47" s="31">
        <v>0.59050000000000002</v>
      </c>
    </row>
    <row r="48" spans="1:5" x14ac:dyDescent="0.25">
      <c r="A48" s="1">
        <f t="shared" si="0"/>
        <v>44409</v>
      </c>
      <c r="C48" s="32">
        <f>C47*(1+(E48/E47-1))</f>
        <v>103.58316482349619</v>
      </c>
      <c r="D48" s="43">
        <v>592.49</v>
      </c>
      <c r="E48" s="31">
        <v>0.58430000000000004</v>
      </c>
    </row>
    <row r="49" spans="1:5" x14ac:dyDescent="0.25">
      <c r="A49" s="1">
        <f t="shared" si="0"/>
        <v>44440</v>
      </c>
      <c r="C49" s="32">
        <f>C48*(1+(E49/E48-1))</f>
        <v>105.88777057859708</v>
      </c>
      <c r="D49" s="43">
        <v>622.85</v>
      </c>
      <c r="E49" s="31">
        <v>0.59730000000000005</v>
      </c>
    </row>
    <row r="50" spans="1:5" x14ac:dyDescent="0.25">
      <c r="A50" s="1">
        <f t="shared" si="0"/>
        <v>44470</v>
      </c>
      <c r="C50" s="32">
        <f>C49*(1+(E50/E49-1))</f>
        <v>119.53812774342542</v>
      </c>
      <c r="D50" s="43">
        <v>674.78</v>
      </c>
      <c r="E50" s="31">
        <v>0.67430000000000001</v>
      </c>
    </row>
    <row r="51" spans="1:5" x14ac:dyDescent="0.25">
      <c r="A51" s="1">
        <f t="shared" si="0"/>
        <v>44501</v>
      </c>
      <c r="C51" s="32">
        <f>C50*(1+(E51/E50-1))</f>
        <v>121.63000065959393</v>
      </c>
      <c r="D51" s="43">
        <v>676.2</v>
      </c>
      <c r="E51" s="31">
        <v>0.68610000000000004</v>
      </c>
    </row>
    <row r="52" spans="1:5" x14ac:dyDescent="0.25">
      <c r="A52" s="1">
        <f t="shared" si="0"/>
        <v>44531</v>
      </c>
      <c r="C52" s="32">
        <f t="shared" ref="C52:C54" si="3">C51*(1+(E52/E51-1))</f>
        <v>117.58807671987852</v>
      </c>
      <c r="D52" s="43">
        <v>650.6</v>
      </c>
      <c r="E52" s="31">
        <v>0.6633</v>
      </c>
    </row>
    <row r="53" spans="1:5" x14ac:dyDescent="0.25">
      <c r="A53" s="1">
        <f t="shared" si="0"/>
        <v>44562</v>
      </c>
      <c r="C53" s="32">
        <f t="shared" si="3"/>
        <v>133.34803453745306</v>
      </c>
      <c r="D53" s="43">
        <v>701.18</v>
      </c>
      <c r="E53" s="31">
        <v>0.75219999999999998</v>
      </c>
    </row>
    <row r="54" spans="1:5" x14ac:dyDescent="0.25">
      <c r="A54" s="1">
        <f t="shared" si="0"/>
        <v>44593</v>
      </c>
      <c r="C54" s="32">
        <f t="shared" si="3"/>
        <v>144.33923121562654</v>
      </c>
      <c r="D54" s="43">
        <v>752.34</v>
      </c>
      <c r="E54" s="31">
        <v>0.81420000000000003</v>
      </c>
    </row>
    <row r="55" spans="1:5" x14ac:dyDescent="0.25">
      <c r="A55" s="1">
        <f t="shared" si="0"/>
        <v>44621</v>
      </c>
      <c r="C55" s="32">
        <f>C54*(1+(E55/E54-1))</f>
        <v>191.7609265609718</v>
      </c>
      <c r="D55" s="43">
        <v>877.46</v>
      </c>
      <c r="E55" s="31">
        <v>1.0817000000000001</v>
      </c>
    </row>
    <row r="56" spans="1:5" x14ac:dyDescent="0.25">
      <c r="A56" s="1">
        <f t="shared" si="0"/>
        <v>44652</v>
      </c>
      <c r="C56" s="32">
        <f t="shared" ref="C56:C61" si="4">C55*(1+(E56/E55-1))</f>
        <v>166.232985889085</v>
      </c>
      <c r="D56" s="43">
        <v>826.09</v>
      </c>
      <c r="E56" s="31">
        <v>0.93769999999999998</v>
      </c>
    </row>
    <row r="57" spans="1:5" x14ac:dyDescent="0.25">
      <c r="A57" s="1">
        <f t="shared" si="0"/>
        <v>44682</v>
      </c>
      <c r="C57" s="32">
        <f t="shared" si="4"/>
        <v>169.10487921467225</v>
      </c>
      <c r="D57" s="43">
        <v>840.31</v>
      </c>
      <c r="E57" s="31">
        <v>0.95389999999999997</v>
      </c>
    </row>
    <row r="58" spans="1:5" x14ac:dyDescent="0.25">
      <c r="A58" s="1">
        <f t="shared" si="0"/>
        <v>44713</v>
      </c>
      <c r="C58" s="32">
        <f t="shared" si="4"/>
        <v>198.40882777760893</v>
      </c>
      <c r="D58" s="43">
        <v>862.27</v>
      </c>
      <c r="E58" s="31">
        <v>1.1192</v>
      </c>
    </row>
    <row r="59" spans="1:5" x14ac:dyDescent="0.25">
      <c r="A59" s="1">
        <f t="shared" si="0"/>
        <v>44743</v>
      </c>
      <c r="C59" s="32">
        <f t="shared" si="4"/>
        <v>182.79069185265595</v>
      </c>
      <c r="D59" s="43">
        <v>820.73</v>
      </c>
      <c r="E59" s="31">
        <v>1.0310999999999999</v>
      </c>
    </row>
    <row r="60" spans="1:5" x14ac:dyDescent="0.25">
      <c r="A60" s="1">
        <f t="shared" si="0"/>
        <v>44774</v>
      </c>
      <c r="C60" s="32">
        <f t="shared" si="4"/>
        <v>165.98479757699718</v>
      </c>
      <c r="D60" s="239"/>
      <c r="E60" s="31">
        <v>0.93630000000000002</v>
      </c>
    </row>
    <row r="61" spans="1:5" x14ac:dyDescent="0.25">
      <c r="A61" s="1">
        <f t="shared" si="0"/>
        <v>44805</v>
      </c>
      <c r="C61" s="32">
        <f t="shared" si="4"/>
        <v>145.70426693210933</v>
      </c>
      <c r="D61" s="239"/>
      <c r="E61" s="31">
        <v>0.82189999999999996</v>
      </c>
    </row>
    <row r="62" spans="1:5" x14ac:dyDescent="0.25">
      <c r="A62" s="1">
        <f t="shared" si="0"/>
        <v>44835</v>
      </c>
      <c r="E62" s="240">
        <v>0.95289999999999997</v>
      </c>
    </row>
    <row r="63" spans="1:5" x14ac:dyDescent="0.25">
      <c r="A63" s="1">
        <f t="shared" si="0"/>
        <v>44866</v>
      </c>
    </row>
    <row r="64" spans="1:5" x14ac:dyDescent="0.25">
      <c r="A64" s="1">
        <f t="shared" si="0"/>
        <v>44896</v>
      </c>
    </row>
    <row r="65" spans="1:1" x14ac:dyDescent="0.25">
      <c r="A65" s="1">
        <f t="shared" si="0"/>
        <v>44927</v>
      </c>
    </row>
    <row r="66" spans="1:1" x14ac:dyDescent="0.25">
      <c r="A66" s="1">
        <f t="shared" si="0"/>
        <v>44958</v>
      </c>
    </row>
    <row r="67" spans="1:1" x14ac:dyDescent="0.25">
      <c r="A67" s="1">
        <f t="shared" si="0"/>
        <v>44986</v>
      </c>
    </row>
    <row r="68" spans="1:1" x14ac:dyDescent="0.25">
      <c r="A68" s="1">
        <f t="shared" ref="A68:A77" si="5">EDATE(A67,1)</f>
        <v>45017</v>
      </c>
    </row>
    <row r="69" spans="1:1" x14ac:dyDescent="0.25">
      <c r="A69" s="1">
        <f t="shared" si="5"/>
        <v>45047</v>
      </c>
    </row>
    <row r="70" spans="1:1" x14ac:dyDescent="0.25">
      <c r="A70" s="1">
        <f t="shared" si="5"/>
        <v>45078</v>
      </c>
    </row>
    <row r="71" spans="1:1" x14ac:dyDescent="0.25">
      <c r="A71" s="1">
        <f t="shared" si="5"/>
        <v>45108</v>
      </c>
    </row>
    <row r="72" spans="1:1" x14ac:dyDescent="0.25">
      <c r="A72" s="1">
        <f t="shared" si="5"/>
        <v>45139</v>
      </c>
    </row>
    <row r="73" spans="1:1" x14ac:dyDescent="0.25">
      <c r="A73" s="1">
        <f t="shared" si="5"/>
        <v>45170</v>
      </c>
    </row>
    <row r="74" spans="1:1" x14ac:dyDescent="0.25">
      <c r="A74" s="1">
        <f t="shared" si="5"/>
        <v>45200</v>
      </c>
    </row>
    <row r="75" spans="1:1" x14ac:dyDescent="0.25">
      <c r="A75" s="1">
        <f t="shared" si="5"/>
        <v>45231</v>
      </c>
    </row>
    <row r="76" spans="1:1" x14ac:dyDescent="0.25">
      <c r="A76" s="1">
        <f t="shared" si="5"/>
        <v>45261</v>
      </c>
    </row>
    <row r="77" spans="1:1" x14ac:dyDescent="0.25">
      <c r="A77" s="1">
        <f t="shared" si="5"/>
        <v>45292</v>
      </c>
    </row>
    <row r="78" spans="1:1" x14ac:dyDescent="0.25">
      <c r="A78" s="1">
        <f>EDATE(A77,1)</f>
        <v>45323</v>
      </c>
    </row>
    <row r="79" spans="1:1" x14ac:dyDescent="0.25">
      <c r="A79" s="1">
        <f t="shared" ref="A79:A85" si="6">EDATE(A78,1)</f>
        <v>45352</v>
      </c>
    </row>
    <row r="80" spans="1:1" x14ac:dyDescent="0.25">
      <c r="A80" s="1">
        <f t="shared" si="6"/>
        <v>45383</v>
      </c>
    </row>
    <row r="81" spans="1:1" x14ac:dyDescent="0.25">
      <c r="A81" s="1">
        <f t="shared" si="6"/>
        <v>45413</v>
      </c>
    </row>
    <row r="82" spans="1:1" x14ac:dyDescent="0.25">
      <c r="A82" s="1">
        <f t="shared" si="6"/>
        <v>45444</v>
      </c>
    </row>
    <row r="83" spans="1:1" x14ac:dyDescent="0.25">
      <c r="A83" s="1">
        <f t="shared" si="6"/>
        <v>45474</v>
      </c>
    </row>
    <row r="84" spans="1:1" x14ac:dyDescent="0.25">
      <c r="A84" s="1">
        <f t="shared" si="6"/>
        <v>45505</v>
      </c>
    </row>
    <row r="85" spans="1:1" x14ac:dyDescent="0.25">
      <c r="A85" s="1">
        <f t="shared" si="6"/>
        <v>45536</v>
      </c>
    </row>
    <row r="86" spans="1:1" x14ac:dyDescent="0.25">
      <c r="A86" s="1">
        <f>EDATE(A85,1)</f>
        <v>45566</v>
      </c>
    </row>
    <row r="87" spans="1:1" x14ac:dyDescent="0.25">
      <c r="A87" s="1">
        <f>EDATE(A86,1)</f>
        <v>45597</v>
      </c>
    </row>
    <row r="88" spans="1:1" x14ac:dyDescent="0.25">
      <c r="A88" s="1">
        <f t="shared" ref="A88" si="7">EDATE(A87,1)</f>
        <v>45627</v>
      </c>
    </row>
  </sheetData>
  <sheetProtection algorithmName="SHA-512" hashValue="6FOUEuDQkHpmTNH2ghDzDFQeD1e/gKJX7S0FT70KJZvDKRAYslusdSFBvnTxxf7P2w7kuokhqizoheuLBZAC0g==" saltValue="aAx/R0ErM0qzS3CZATvH4Q==" spinCount="100000" sheet="1"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58" workbookViewId="0">
      <selection activeCell="C64" sqref="C64"/>
    </sheetView>
  </sheetViews>
  <sheetFormatPr baseColWidth="10" defaultRowHeight="15" x14ac:dyDescent="0.25"/>
  <sheetData>
    <row r="1" spans="1:5" x14ac:dyDescent="0.25">
      <c r="A1" t="s">
        <v>173</v>
      </c>
      <c r="C1" t="s">
        <v>171</v>
      </c>
      <c r="D1" t="s">
        <v>172</v>
      </c>
      <c r="E1" s="44" t="str">
        <f>HYPERLINK('DEPUIS JANVIER'!A48, "Notice")</f>
        <v>Notice</v>
      </c>
    </row>
    <row r="2" spans="1:5" x14ac:dyDescent="0.25">
      <c r="A2" s="2">
        <v>43009</v>
      </c>
      <c r="B2">
        <v>295.7</v>
      </c>
      <c r="C2" s="33">
        <v>100</v>
      </c>
    </row>
    <row r="3" spans="1:5" x14ac:dyDescent="0.25">
      <c r="A3" s="2">
        <f>EDATE(A2,1)</f>
        <v>43040</v>
      </c>
      <c r="B3">
        <v>322.8</v>
      </c>
      <c r="C3" s="41">
        <f>C2*(1+(B3/B2-1))</f>
        <v>109.16469394656747</v>
      </c>
    </row>
    <row r="4" spans="1:5" x14ac:dyDescent="0.25">
      <c r="A4" s="2">
        <f t="shared" ref="A4:A67" si="0">EDATE(A3,1)</f>
        <v>43070</v>
      </c>
      <c r="B4">
        <v>319.8</v>
      </c>
      <c r="C4" s="41">
        <f t="shared" ref="C4:C34" si="1">C3*(1+(B4/B3-1))</f>
        <v>108.1501521812648</v>
      </c>
    </row>
    <row r="5" spans="1:5" x14ac:dyDescent="0.25">
      <c r="A5" s="2">
        <f t="shared" si="0"/>
        <v>43101</v>
      </c>
      <c r="B5">
        <v>324.89999999999998</v>
      </c>
      <c r="C5" s="41">
        <f t="shared" si="1"/>
        <v>109.87487318227933</v>
      </c>
    </row>
    <row r="6" spans="1:5" x14ac:dyDescent="0.25">
      <c r="A6" s="2">
        <f t="shared" si="0"/>
        <v>43132</v>
      </c>
      <c r="B6">
        <v>321</v>
      </c>
      <c r="C6" s="41">
        <f t="shared" si="1"/>
        <v>108.55596888738587</v>
      </c>
    </row>
    <row r="7" spans="1:5" x14ac:dyDescent="0.25">
      <c r="A7" s="2">
        <f t="shared" si="0"/>
        <v>43160</v>
      </c>
      <c r="B7">
        <v>306.2</v>
      </c>
      <c r="C7" s="41">
        <f t="shared" si="1"/>
        <v>103.55089617855936</v>
      </c>
    </row>
    <row r="8" spans="1:5" x14ac:dyDescent="0.25">
      <c r="A8" s="2">
        <f t="shared" si="0"/>
        <v>43191</v>
      </c>
      <c r="B8">
        <v>325</v>
      </c>
      <c r="C8" s="41">
        <f t="shared" si="1"/>
        <v>109.90869124112277</v>
      </c>
    </row>
    <row r="9" spans="1:5" x14ac:dyDescent="0.25">
      <c r="A9" s="2">
        <f t="shared" si="0"/>
        <v>43221</v>
      </c>
      <c r="B9">
        <v>337.8</v>
      </c>
      <c r="C9" s="41">
        <f t="shared" si="1"/>
        <v>114.23740277308083</v>
      </c>
    </row>
    <row r="10" spans="1:5" x14ac:dyDescent="0.25">
      <c r="A10" s="2">
        <f t="shared" si="0"/>
        <v>43252</v>
      </c>
      <c r="B10">
        <v>383</v>
      </c>
      <c r="C10" s="41">
        <f t="shared" si="1"/>
        <v>129.52316537030777</v>
      </c>
    </row>
    <row r="11" spans="1:5" x14ac:dyDescent="0.25">
      <c r="A11" s="2">
        <f t="shared" si="0"/>
        <v>43282</v>
      </c>
      <c r="B11">
        <v>391.9</v>
      </c>
      <c r="C11" s="41">
        <f t="shared" si="1"/>
        <v>132.53297260737236</v>
      </c>
    </row>
    <row r="12" spans="1:5" x14ac:dyDescent="0.25">
      <c r="A12" s="2">
        <f t="shared" si="0"/>
        <v>43313</v>
      </c>
      <c r="B12">
        <v>387.4</v>
      </c>
      <c r="C12" s="41">
        <f t="shared" si="1"/>
        <v>131.01115995941836</v>
      </c>
    </row>
    <row r="13" spans="1:5" x14ac:dyDescent="0.25">
      <c r="A13" s="2">
        <f t="shared" si="0"/>
        <v>43344</v>
      </c>
      <c r="B13">
        <v>392.7</v>
      </c>
      <c r="C13" s="41">
        <f t="shared" si="1"/>
        <v>132.80351707811977</v>
      </c>
    </row>
    <row r="14" spans="1:5" x14ac:dyDescent="0.25">
      <c r="A14" s="2">
        <f t="shared" si="0"/>
        <v>43374</v>
      </c>
      <c r="B14">
        <v>430.2</v>
      </c>
      <c r="C14" s="41">
        <f t="shared" si="1"/>
        <v>145.48528914440317</v>
      </c>
    </row>
    <row r="15" spans="1:5" x14ac:dyDescent="0.25">
      <c r="A15" s="2">
        <f t="shared" si="0"/>
        <v>43405</v>
      </c>
      <c r="B15">
        <v>381</v>
      </c>
      <c r="C15" s="41">
        <f t="shared" si="1"/>
        <v>128.84680419343934</v>
      </c>
    </row>
    <row r="16" spans="1:5" x14ac:dyDescent="0.25">
      <c r="A16" s="2">
        <f t="shared" si="0"/>
        <v>43435</v>
      </c>
      <c r="B16">
        <v>325.39999999999998</v>
      </c>
      <c r="C16" s="41">
        <f t="shared" si="1"/>
        <v>110.04396347649647</v>
      </c>
    </row>
    <row r="17" spans="1:4" x14ac:dyDescent="0.25">
      <c r="A17" s="2">
        <f t="shared" si="0"/>
        <v>43466</v>
      </c>
      <c r="B17">
        <v>330.7</v>
      </c>
      <c r="C17" s="41">
        <f t="shared" si="1"/>
        <v>111.83632059519786</v>
      </c>
    </row>
    <row r="18" spans="1:4" x14ac:dyDescent="0.25">
      <c r="A18" s="2">
        <f t="shared" si="0"/>
        <v>43497</v>
      </c>
      <c r="B18">
        <v>372.1</v>
      </c>
      <c r="C18" s="41">
        <f t="shared" si="1"/>
        <v>125.83699695637475</v>
      </c>
    </row>
    <row r="19" spans="1:4" x14ac:dyDescent="0.25">
      <c r="A19" s="2">
        <f t="shared" si="0"/>
        <v>43525</v>
      </c>
      <c r="B19">
        <v>380.8</v>
      </c>
      <c r="C19" s="41">
        <f t="shared" si="1"/>
        <v>128.77916807575249</v>
      </c>
    </row>
    <row r="20" spans="1:4" x14ac:dyDescent="0.25">
      <c r="A20" s="2">
        <f t="shared" si="0"/>
        <v>43556</v>
      </c>
      <c r="B20">
        <v>392.7</v>
      </c>
      <c r="C20" s="41">
        <f t="shared" si="1"/>
        <v>132.80351707811977</v>
      </c>
    </row>
    <row r="21" spans="1:4" x14ac:dyDescent="0.25">
      <c r="A21" s="2">
        <f t="shared" si="0"/>
        <v>43586</v>
      </c>
      <c r="B21">
        <v>382.1</v>
      </c>
      <c r="C21" s="41">
        <f t="shared" si="1"/>
        <v>129.21880284071699</v>
      </c>
    </row>
    <row r="22" spans="1:4" x14ac:dyDescent="0.25">
      <c r="A22" s="2">
        <f t="shared" si="0"/>
        <v>43617</v>
      </c>
      <c r="B22">
        <v>347.9</v>
      </c>
      <c r="C22" s="41">
        <f t="shared" si="1"/>
        <v>117.65302671626651</v>
      </c>
    </row>
    <row r="23" spans="1:4" x14ac:dyDescent="0.25">
      <c r="A23" s="2">
        <f t="shared" si="0"/>
        <v>43647</v>
      </c>
      <c r="B23">
        <v>375.3</v>
      </c>
      <c r="C23" s="41">
        <f t="shared" si="1"/>
        <v>126.91917483936426</v>
      </c>
    </row>
    <row r="24" spans="1:4" x14ac:dyDescent="0.25">
      <c r="A24" s="2">
        <f t="shared" si="0"/>
        <v>43678</v>
      </c>
      <c r="B24">
        <v>304.8</v>
      </c>
      <c r="C24" s="41">
        <f t="shared" si="1"/>
        <v>103.07744335475147</v>
      </c>
    </row>
    <row r="25" spans="1:4" x14ac:dyDescent="0.25">
      <c r="A25" s="2">
        <f t="shared" si="0"/>
        <v>43709</v>
      </c>
      <c r="B25">
        <v>341.8</v>
      </c>
      <c r="C25" s="41">
        <f t="shared" si="1"/>
        <v>115.59012512681774</v>
      </c>
    </row>
    <row r="26" spans="1:4" x14ac:dyDescent="0.25">
      <c r="A26" s="2">
        <f t="shared" si="0"/>
        <v>43739</v>
      </c>
      <c r="B26">
        <v>291.7</v>
      </c>
      <c r="C26" s="41">
        <f t="shared" si="1"/>
        <v>98.647277646263106</v>
      </c>
    </row>
    <row r="27" spans="1:4" x14ac:dyDescent="0.25">
      <c r="A27" s="2"/>
      <c r="B27">
        <v>265.8</v>
      </c>
      <c r="C27" s="41">
        <f t="shared" si="1"/>
        <v>89.888400405816711</v>
      </c>
    </row>
    <row r="28" spans="1:4" x14ac:dyDescent="0.25">
      <c r="A28" s="2">
        <f t="shared" si="0"/>
        <v>31</v>
      </c>
      <c r="B28">
        <v>256.10000000000002</v>
      </c>
      <c r="C28" s="41">
        <f t="shared" si="1"/>
        <v>86.608048698004751</v>
      </c>
      <c r="D28" s="218">
        <v>631.9</v>
      </c>
    </row>
    <row r="29" spans="1:4" x14ac:dyDescent="0.25">
      <c r="A29" s="2">
        <f t="shared" si="0"/>
        <v>59</v>
      </c>
      <c r="B29">
        <v>285.10000000000002</v>
      </c>
      <c r="C29" s="41">
        <f t="shared" si="1"/>
        <v>96.41528576259725</v>
      </c>
      <c r="D29" s="218">
        <v>559.73</v>
      </c>
    </row>
    <row r="30" spans="1:4" x14ac:dyDescent="0.25">
      <c r="A30" s="2">
        <f t="shared" si="0"/>
        <v>88</v>
      </c>
      <c r="B30">
        <v>277.60000000000002</v>
      </c>
      <c r="C30" s="41">
        <f t="shared" si="1"/>
        <v>93.878931349340561</v>
      </c>
      <c r="D30" s="218">
        <v>414.19</v>
      </c>
    </row>
    <row r="31" spans="1:4" x14ac:dyDescent="0.25">
      <c r="A31" s="2">
        <f t="shared" si="0"/>
        <v>119</v>
      </c>
      <c r="B31">
        <v>199.8</v>
      </c>
      <c r="C31" s="41">
        <f t="shared" si="1"/>
        <v>67.568481569157939</v>
      </c>
      <c r="D31" s="218">
        <v>359.81</v>
      </c>
    </row>
    <row r="32" spans="1:4" x14ac:dyDescent="0.25">
      <c r="A32" s="2">
        <f t="shared" si="0"/>
        <v>149</v>
      </c>
      <c r="B32">
        <v>150.69999999999999</v>
      </c>
      <c r="C32" s="41">
        <f t="shared" si="1"/>
        <v>50.96381467703754</v>
      </c>
      <c r="D32" s="218">
        <v>380.71</v>
      </c>
    </row>
    <row r="33" spans="1:4" x14ac:dyDescent="0.25">
      <c r="A33" s="2">
        <f t="shared" si="0"/>
        <v>180</v>
      </c>
      <c r="B33">
        <v>163.80000000000001</v>
      </c>
      <c r="C33" s="41">
        <f t="shared" si="1"/>
        <v>55.393980385525879</v>
      </c>
      <c r="D33" s="218">
        <v>434.36</v>
      </c>
    </row>
    <row r="34" spans="1:4" x14ac:dyDescent="0.25">
      <c r="A34" s="2">
        <f t="shared" si="0"/>
        <v>210</v>
      </c>
      <c r="B34">
        <v>221</v>
      </c>
      <c r="C34" s="41">
        <f t="shared" si="1"/>
        <v>74.737910043963481</v>
      </c>
      <c r="D34" s="218">
        <v>447.29</v>
      </c>
    </row>
    <row r="35" spans="1:4" x14ac:dyDescent="0.25">
      <c r="A35" s="2">
        <f t="shared" si="0"/>
        <v>241</v>
      </c>
      <c r="C35" s="42">
        <f>C34*(1+(D35/D34-1))</f>
        <v>75.925923503715723</v>
      </c>
      <c r="D35" s="218">
        <v>454.4</v>
      </c>
    </row>
    <row r="36" spans="1:4" x14ac:dyDescent="0.25">
      <c r="A36" s="2">
        <f t="shared" si="0"/>
        <v>272</v>
      </c>
      <c r="C36" s="42">
        <f>C35*(1+(D36/D35-1))</f>
        <v>73.606707354438484</v>
      </c>
      <c r="D36" s="218">
        <v>440.52</v>
      </c>
    </row>
    <row r="37" spans="1:4" x14ac:dyDescent="0.25">
      <c r="A37" s="2">
        <f t="shared" si="0"/>
        <v>302</v>
      </c>
      <c r="C37" s="42">
        <f>C36*(1+(D37/D36-1))</f>
        <v>75.715389472873554</v>
      </c>
      <c r="D37" s="218">
        <v>453.14</v>
      </c>
    </row>
    <row r="38" spans="1:4" x14ac:dyDescent="0.25">
      <c r="A38" s="2">
        <f t="shared" si="0"/>
        <v>333</v>
      </c>
      <c r="C38" s="42">
        <f t="shared" ref="C38:C51" si="2">C37*(1+(D38/D37-1))</f>
        <v>78.597700609403262</v>
      </c>
      <c r="D38" s="218">
        <v>470.39</v>
      </c>
    </row>
    <row r="39" spans="1:4" x14ac:dyDescent="0.25">
      <c r="A39" s="2">
        <f t="shared" si="0"/>
        <v>363</v>
      </c>
      <c r="C39" s="42">
        <f t="shared" si="2"/>
        <v>81.576924236320636</v>
      </c>
      <c r="D39" s="218">
        <v>488.22</v>
      </c>
    </row>
    <row r="40" spans="1:4" x14ac:dyDescent="0.25">
      <c r="A40" s="2">
        <f t="shared" si="0"/>
        <v>394</v>
      </c>
      <c r="C40" s="42">
        <f t="shared" si="2"/>
        <v>84.947139634802028</v>
      </c>
      <c r="D40" s="218">
        <v>508.39</v>
      </c>
    </row>
    <row r="41" spans="1:4" x14ac:dyDescent="0.25">
      <c r="A41" s="2">
        <f t="shared" si="0"/>
        <v>425</v>
      </c>
      <c r="C41" s="42">
        <f t="shared" si="2"/>
        <v>93.637516574564899</v>
      </c>
      <c r="D41" s="218">
        <v>560.4</v>
      </c>
    </row>
    <row r="42" spans="1:4" x14ac:dyDescent="0.25">
      <c r="A42" s="2">
        <f t="shared" si="0"/>
        <v>453</v>
      </c>
      <c r="C42" s="42">
        <f t="shared" si="2"/>
        <v>96.825603327317751</v>
      </c>
      <c r="D42" s="218">
        <v>579.48</v>
      </c>
    </row>
    <row r="43" spans="1:4" x14ac:dyDescent="0.25">
      <c r="A43" s="2">
        <f t="shared" si="0"/>
        <v>484</v>
      </c>
      <c r="C43" s="42">
        <f t="shared" si="2"/>
        <v>94.441221882779857</v>
      </c>
      <c r="D43" s="218">
        <v>565.21</v>
      </c>
    </row>
    <row r="44" spans="1:4" x14ac:dyDescent="0.25">
      <c r="A44" s="2">
        <f t="shared" si="0"/>
        <v>514</v>
      </c>
      <c r="C44" s="42">
        <f t="shared" si="2"/>
        <v>94.160509841656946</v>
      </c>
      <c r="D44" s="218">
        <v>563.53</v>
      </c>
    </row>
    <row r="45" spans="1:4" x14ac:dyDescent="0.25">
      <c r="A45" s="2">
        <f t="shared" si="0"/>
        <v>545</v>
      </c>
      <c r="C45" s="42">
        <f t="shared" si="2"/>
        <v>97.333558449349638</v>
      </c>
      <c r="D45" s="218">
        <v>582.52</v>
      </c>
    </row>
    <row r="46" spans="1:4" x14ac:dyDescent="0.25">
      <c r="A46" s="2">
        <f t="shared" si="0"/>
        <v>575</v>
      </c>
      <c r="C46" s="42">
        <f t="shared" si="2"/>
        <v>101.65618970164086</v>
      </c>
      <c r="D46" s="218">
        <v>608.39</v>
      </c>
    </row>
    <row r="47" spans="1:4" x14ac:dyDescent="0.25">
      <c r="A47" s="2">
        <f t="shared" si="0"/>
        <v>606</v>
      </c>
      <c r="C47" s="42">
        <f t="shared" si="2"/>
        <v>98.99945074101349</v>
      </c>
      <c r="D47" s="218">
        <v>592.49</v>
      </c>
    </row>
    <row r="48" spans="1:4" x14ac:dyDescent="0.25">
      <c r="A48" s="2">
        <f t="shared" si="0"/>
        <v>637</v>
      </c>
      <c r="C48" s="42">
        <f t="shared" si="2"/>
        <v>104.07231834130576</v>
      </c>
      <c r="D48" s="218">
        <v>622.85</v>
      </c>
    </row>
    <row r="49" spans="1:4" x14ac:dyDescent="0.25">
      <c r="A49" s="2">
        <f t="shared" si="0"/>
        <v>667</v>
      </c>
      <c r="C49" s="42">
        <f t="shared" si="2"/>
        <v>112.74932804101516</v>
      </c>
      <c r="D49" s="218">
        <v>674.78</v>
      </c>
    </row>
    <row r="50" spans="1:4" x14ac:dyDescent="0.25">
      <c r="A50" s="2">
        <f t="shared" si="0"/>
        <v>698</v>
      </c>
      <c r="C50" s="42">
        <f t="shared" si="2"/>
        <v>112.98659655196428</v>
      </c>
      <c r="D50" s="218">
        <v>676.2</v>
      </c>
    </row>
    <row r="51" spans="1:4" x14ac:dyDescent="0.25">
      <c r="A51" s="2">
        <f t="shared" si="0"/>
        <v>728</v>
      </c>
      <c r="C51" s="42">
        <f t="shared" si="2"/>
        <v>108.70907973485353</v>
      </c>
      <c r="D51" s="30">
        <v>650.6</v>
      </c>
    </row>
    <row r="52" spans="1:4" x14ac:dyDescent="0.25">
      <c r="A52" s="2">
        <f t="shared" si="0"/>
        <v>759</v>
      </c>
      <c r="C52" s="42">
        <f>C51*(1+(D52/D51-1))</f>
        <v>117.1605172586606</v>
      </c>
      <c r="D52" s="30">
        <v>701.18</v>
      </c>
    </row>
    <row r="53" spans="1:4" x14ac:dyDescent="0.25">
      <c r="A53" s="2">
        <f t="shared" si="0"/>
        <v>790</v>
      </c>
      <c r="C53" s="42">
        <f>C52*(1+(D53/D52-1))</f>
        <v>125.70886727285539</v>
      </c>
      <c r="D53" s="30">
        <v>752.34</v>
      </c>
    </row>
    <row r="54" spans="1:4" x14ac:dyDescent="0.25">
      <c r="A54" s="2">
        <f t="shared" si="0"/>
        <v>818</v>
      </c>
      <c r="C54" s="42">
        <f t="shared" ref="C54:C60" si="3">C53*(1+(D54/D53-1))</f>
        <v>146.61523071648415</v>
      </c>
      <c r="D54" s="218">
        <v>877.46</v>
      </c>
    </row>
    <row r="55" spans="1:4" x14ac:dyDescent="0.25">
      <c r="A55" s="2">
        <f t="shared" si="0"/>
        <v>849</v>
      </c>
      <c r="C55" s="42">
        <f t="shared" si="3"/>
        <v>138.03179169714903</v>
      </c>
      <c r="D55" s="218">
        <v>826.09</v>
      </c>
    </row>
    <row r="56" spans="1:4" x14ac:dyDescent="0.25">
      <c r="A56" s="2">
        <f t="shared" si="0"/>
        <v>879</v>
      </c>
      <c r="C56" s="42">
        <f t="shared" si="3"/>
        <v>140.40781861665351</v>
      </c>
      <c r="D56" s="218">
        <v>840.31</v>
      </c>
    </row>
    <row r="57" spans="1:4" x14ac:dyDescent="0.25">
      <c r="A57" s="2">
        <f t="shared" si="0"/>
        <v>910</v>
      </c>
      <c r="C57" s="42">
        <f t="shared" si="3"/>
        <v>144.07712601133133</v>
      </c>
      <c r="D57" s="218">
        <v>862.27</v>
      </c>
    </row>
    <row r="58" spans="1:4" x14ac:dyDescent="0.25">
      <c r="A58" s="2">
        <f t="shared" si="0"/>
        <v>940</v>
      </c>
      <c r="C58" s="42">
        <f t="shared" si="3"/>
        <v>137.13618661356648</v>
      </c>
      <c r="D58" s="218">
        <v>820.73</v>
      </c>
    </row>
    <row r="59" spans="1:4" x14ac:dyDescent="0.25">
      <c r="A59" s="2">
        <f t="shared" si="0"/>
        <v>971</v>
      </c>
      <c r="C59" s="42">
        <f t="shared" si="3"/>
        <v>137.55057105522408</v>
      </c>
      <c r="D59" s="220">
        <v>823.21</v>
      </c>
    </row>
    <row r="60" spans="1:4" x14ac:dyDescent="0.25">
      <c r="A60" s="2">
        <f t="shared" si="0"/>
        <v>1002</v>
      </c>
      <c r="C60" s="42">
        <f t="shared" si="3"/>
        <v>132.80687174124853</v>
      </c>
      <c r="D60" s="232">
        <v>794.82</v>
      </c>
    </row>
    <row r="61" spans="1:4" x14ac:dyDescent="0.25">
      <c r="A61" s="2">
        <f t="shared" si="0"/>
        <v>1032</v>
      </c>
      <c r="D61" s="232"/>
    </row>
    <row r="62" spans="1:4" x14ac:dyDescent="0.25">
      <c r="A62" s="2">
        <f t="shared" si="0"/>
        <v>1063</v>
      </c>
    </row>
    <row r="63" spans="1:4" x14ac:dyDescent="0.25">
      <c r="A63" s="2">
        <f t="shared" si="0"/>
        <v>1093</v>
      </c>
    </row>
    <row r="64" spans="1:4" x14ac:dyDescent="0.25">
      <c r="A64" s="2">
        <f t="shared" si="0"/>
        <v>1124</v>
      </c>
    </row>
    <row r="65" spans="1:1" x14ac:dyDescent="0.25">
      <c r="A65" s="2">
        <f t="shared" si="0"/>
        <v>1155</v>
      </c>
    </row>
    <row r="66" spans="1:1" x14ac:dyDescent="0.25">
      <c r="A66" s="2">
        <f t="shared" si="0"/>
        <v>1183</v>
      </c>
    </row>
    <row r="67" spans="1:1" x14ac:dyDescent="0.25">
      <c r="A67" s="2">
        <f t="shared" si="0"/>
        <v>1214</v>
      </c>
    </row>
    <row r="68" spans="1:1" x14ac:dyDescent="0.25">
      <c r="A68" s="2">
        <f t="shared" ref="A68:A82" si="4">EDATE(A67,1)</f>
        <v>1244</v>
      </c>
    </row>
    <row r="69" spans="1:1" x14ac:dyDescent="0.25">
      <c r="A69" s="2">
        <f t="shared" si="4"/>
        <v>1275</v>
      </c>
    </row>
    <row r="70" spans="1:1" x14ac:dyDescent="0.25">
      <c r="A70" s="2">
        <f t="shared" si="4"/>
        <v>1305</v>
      </c>
    </row>
    <row r="71" spans="1:1" x14ac:dyDescent="0.25">
      <c r="A71" s="2">
        <f t="shared" si="4"/>
        <v>1336</v>
      </c>
    </row>
    <row r="72" spans="1:1" x14ac:dyDescent="0.25">
      <c r="A72" s="2">
        <f t="shared" si="4"/>
        <v>1367</v>
      </c>
    </row>
    <row r="73" spans="1:1" x14ac:dyDescent="0.25">
      <c r="A73" s="2">
        <f t="shared" si="4"/>
        <v>1397</v>
      </c>
    </row>
    <row r="74" spans="1:1" x14ac:dyDescent="0.25">
      <c r="A74" s="2">
        <f t="shared" si="4"/>
        <v>1428</v>
      </c>
    </row>
    <row r="75" spans="1:1" x14ac:dyDescent="0.25">
      <c r="A75" s="2">
        <f t="shared" si="4"/>
        <v>1458</v>
      </c>
    </row>
    <row r="76" spans="1:1" x14ac:dyDescent="0.25">
      <c r="A76" s="2">
        <f t="shared" si="4"/>
        <v>1489</v>
      </c>
    </row>
    <row r="77" spans="1:1" x14ac:dyDescent="0.25">
      <c r="A77" s="2">
        <f t="shared" si="4"/>
        <v>1520</v>
      </c>
    </row>
    <row r="78" spans="1:1" x14ac:dyDescent="0.25">
      <c r="A78" s="2">
        <f t="shared" si="4"/>
        <v>1549</v>
      </c>
    </row>
    <row r="79" spans="1:1" x14ac:dyDescent="0.25">
      <c r="A79" s="2">
        <f t="shared" si="4"/>
        <v>1580</v>
      </c>
    </row>
    <row r="80" spans="1:1" x14ac:dyDescent="0.25">
      <c r="A80" s="2">
        <f t="shared" si="4"/>
        <v>1610</v>
      </c>
    </row>
    <row r="81" spans="1:1" x14ac:dyDescent="0.25">
      <c r="A81" s="2">
        <f t="shared" si="4"/>
        <v>1641</v>
      </c>
    </row>
    <row r="82" spans="1:1" x14ac:dyDescent="0.25">
      <c r="A82" s="2">
        <f t="shared" si="4"/>
        <v>1671</v>
      </c>
    </row>
    <row r="83" spans="1:1" x14ac:dyDescent="0.25">
      <c r="A83" s="2">
        <f>EDATE(A82,1)</f>
        <v>1702</v>
      </c>
    </row>
    <row r="84" spans="1:1" x14ac:dyDescent="0.25">
      <c r="A84" s="2">
        <f t="shared" ref="A84:A88" si="5">EDATE(A83,1)</f>
        <v>1733</v>
      </c>
    </row>
    <row r="85" spans="1:1" x14ac:dyDescent="0.25">
      <c r="A85" s="2">
        <f t="shared" si="5"/>
        <v>1763</v>
      </c>
    </row>
    <row r="86" spans="1:1" x14ac:dyDescent="0.25">
      <c r="A86" s="2">
        <f t="shared" si="5"/>
        <v>1794</v>
      </c>
    </row>
    <row r="87" spans="1:1" x14ac:dyDescent="0.25">
      <c r="A87" s="2">
        <f t="shared" si="5"/>
        <v>1824</v>
      </c>
    </row>
    <row r="88" spans="1:1" x14ac:dyDescent="0.25">
      <c r="A88" s="2">
        <f t="shared" si="5"/>
        <v>1855</v>
      </c>
    </row>
    <row r="89" spans="1:1" x14ac:dyDescent="0.25">
      <c r="A89" s="2"/>
    </row>
    <row r="90" spans="1:1" x14ac:dyDescent="0.25">
      <c r="A90" s="2"/>
    </row>
    <row r="91" spans="1:1" x14ac:dyDescent="0.25">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Q161"/>
  <sheetViews>
    <sheetView topLeftCell="A3" zoomScale="60" zoomScaleNormal="60" workbookViewId="0">
      <pane xSplit="1" ySplit="3" topLeftCell="AG62" activePane="bottomRight" state="frozen"/>
      <selection activeCell="B21" sqref="B21"/>
      <selection pane="topRight" activeCell="B21" sqref="B21"/>
      <selection pane="bottomLeft" activeCell="B21" sqref="B21"/>
      <selection pane="bottomRight" activeCell="AR63" sqref="AR63"/>
    </sheetView>
  </sheetViews>
  <sheetFormatPr baseColWidth="10" defaultRowHeight="15" x14ac:dyDescent="0.25"/>
  <sheetData>
    <row r="1" spans="1:58" x14ac:dyDescent="0.25">
      <c r="A1" s="34"/>
      <c r="B1" s="35" t="s">
        <v>52</v>
      </c>
      <c r="C1" s="35" t="s">
        <v>53</v>
      </c>
      <c r="D1" s="35" t="s">
        <v>53</v>
      </c>
      <c r="E1" s="34" t="s">
        <v>54</v>
      </c>
      <c r="F1" s="34" t="s">
        <v>54</v>
      </c>
      <c r="G1" s="35" t="s">
        <v>52</v>
      </c>
      <c r="H1" s="35" t="s">
        <v>52</v>
      </c>
      <c r="I1" s="34" t="s">
        <v>54</v>
      </c>
      <c r="J1" s="35" t="s">
        <v>55</v>
      </c>
      <c r="K1" s="35" t="s">
        <v>55</v>
      </c>
      <c r="L1" s="34" t="s">
        <v>54</v>
      </c>
      <c r="M1" s="34" t="s">
        <v>54</v>
      </c>
      <c r="N1" s="34" t="s">
        <v>54</v>
      </c>
      <c r="O1" s="34" t="s">
        <v>54</v>
      </c>
      <c r="P1" s="34" t="s">
        <v>54</v>
      </c>
      <c r="Q1" s="34" t="s">
        <v>54</v>
      </c>
      <c r="R1" s="34" t="s">
        <v>54</v>
      </c>
      <c r="S1" s="34" t="s">
        <v>54</v>
      </c>
      <c r="T1" s="34" t="s">
        <v>54</v>
      </c>
      <c r="U1" s="34" t="s">
        <v>54</v>
      </c>
      <c r="V1" s="34" t="s">
        <v>54</v>
      </c>
      <c r="W1" s="34" t="s">
        <v>54</v>
      </c>
      <c r="X1" s="34" t="s">
        <v>54</v>
      </c>
      <c r="Y1" s="34" t="s">
        <v>54</v>
      </c>
      <c r="Z1" s="34" t="s">
        <v>54</v>
      </c>
      <c r="AA1" s="34" t="s">
        <v>54</v>
      </c>
      <c r="AB1" s="34" t="s">
        <v>54</v>
      </c>
      <c r="AC1" s="34" t="s">
        <v>54</v>
      </c>
      <c r="AD1" s="34" t="s">
        <v>54</v>
      </c>
      <c r="AE1" s="34" t="s">
        <v>54</v>
      </c>
      <c r="AF1" s="34" t="s">
        <v>54</v>
      </c>
      <c r="AG1" s="34" t="s">
        <v>54</v>
      </c>
      <c r="AH1" s="34" t="s">
        <v>54</v>
      </c>
      <c r="AI1" s="34" t="s">
        <v>54</v>
      </c>
      <c r="AJ1" s="34" t="s">
        <v>54</v>
      </c>
      <c r="AK1" s="34" t="s">
        <v>54</v>
      </c>
      <c r="AL1" s="34" t="s">
        <v>54</v>
      </c>
      <c r="AM1" s="34" t="s">
        <v>54</v>
      </c>
      <c r="AN1" s="34" t="s">
        <v>54</v>
      </c>
      <c r="AO1" s="34" t="s">
        <v>54</v>
      </c>
      <c r="AP1" s="34" t="s">
        <v>54</v>
      </c>
    </row>
    <row r="2" spans="1:58" ht="30" x14ac:dyDescent="0.25">
      <c r="A2" s="34"/>
      <c r="B2" s="36" t="s">
        <v>56</v>
      </c>
      <c r="C2" s="36" t="s">
        <v>57</v>
      </c>
      <c r="D2" s="36" t="s">
        <v>58</v>
      </c>
      <c r="E2" s="36" t="s">
        <v>280</v>
      </c>
      <c r="F2" s="36" t="s">
        <v>59</v>
      </c>
      <c r="G2" s="36" t="s">
        <v>60</v>
      </c>
      <c r="H2" s="36" t="s">
        <v>61</v>
      </c>
      <c r="I2" s="36" t="s">
        <v>62</v>
      </c>
      <c r="J2" s="37" t="s">
        <v>63</v>
      </c>
      <c r="K2" s="36" t="s">
        <v>64</v>
      </c>
      <c r="L2" s="36" t="s">
        <v>65</v>
      </c>
      <c r="M2" s="36" t="s">
        <v>66</v>
      </c>
      <c r="N2" s="36" t="s">
        <v>67</v>
      </c>
      <c r="O2" s="36" t="s">
        <v>68</v>
      </c>
      <c r="P2" s="36" t="s">
        <v>69</v>
      </c>
      <c r="Q2" s="36" t="s">
        <v>70</v>
      </c>
      <c r="R2" s="36" t="s">
        <v>71</v>
      </c>
      <c r="S2" s="36" t="s">
        <v>72</v>
      </c>
      <c r="T2" s="36" t="s">
        <v>73</v>
      </c>
      <c r="U2" s="36" t="s">
        <v>74</v>
      </c>
      <c r="V2" s="36" t="s">
        <v>75</v>
      </c>
      <c r="W2" s="36" t="s">
        <v>76</v>
      </c>
      <c r="X2" s="36" t="s">
        <v>77</v>
      </c>
      <c r="Y2" s="36" t="s">
        <v>78</v>
      </c>
      <c r="Z2" s="36" t="s">
        <v>79</v>
      </c>
      <c r="AA2" s="36" t="s">
        <v>80</v>
      </c>
      <c r="AB2" s="36" t="s">
        <v>81</v>
      </c>
      <c r="AC2" s="36" t="s">
        <v>82</v>
      </c>
      <c r="AD2" s="36" t="s">
        <v>83</v>
      </c>
      <c r="AE2" s="36" t="s">
        <v>84</v>
      </c>
      <c r="AF2" s="36" t="s">
        <v>85</v>
      </c>
      <c r="AG2" s="36" t="s">
        <v>86</v>
      </c>
      <c r="AH2" s="36" t="s">
        <v>87</v>
      </c>
      <c r="AI2" s="36" t="s">
        <v>88</v>
      </c>
      <c r="AJ2" s="36" t="s">
        <v>89</v>
      </c>
      <c r="AK2" s="36" t="s">
        <v>90</v>
      </c>
      <c r="AL2" s="36" t="s">
        <v>91</v>
      </c>
      <c r="AM2" s="36" t="s">
        <v>92</v>
      </c>
      <c r="AN2" s="36" t="s">
        <v>93</v>
      </c>
      <c r="AO2" s="36" t="s">
        <v>94</v>
      </c>
      <c r="AP2" s="36" t="s">
        <v>95</v>
      </c>
    </row>
    <row r="3" spans="1:58" ht="30" x14ac:dyDescent="0.25">
      <c r="A3" s="34"/>
      <c r="B3" s="36" t="s">
        <v>56</v>
      </c>
      <c r="C3" s="36" t="s">
        <v>57</v>
      </c>
      <c r="D3" s="36" t="s">
        <v>58</v>
      </c>
      <c r="E3" s="190" t="s">
        <v>280</v>
      </c>
      <c r="F3" s="36" t="s">
        <v>59</v>
      </c>
      <c r="G3" s="36" t="s">
        <v>60</v>
      </c>
      <c r="H3" s="36" t="s">
        <v>61</v>
      </c>
      <c r="I3" s="36" t="s">
        <v>62</v>
      </c>
      <c r="J3" s="36" t="s">
        <v>296</v>
      </c>
      <c r="K3" s="36" t="s">
        <v>64</v>
      </c>
      <c r="L3" s="36" t="s">
        <v>65</v>
      </c>
      <c r="M3" s="36" t="s">
        <v>66</v>
      </c>
      <c r="N3" s="36" t="s">
        <v>67</v>
      </c>
      <c r="O3" s="36" t="s">
        <v>68</v>
      </c>
      <c r="P3" s="36" t="s">
        <v>69</v>
      </c>
      <c r="Q3" s="36" t="s">
        <v>70</v>
      </c>
      <c r="R3" s="36" t="s">
        <v>71</v>
      </c>
      <c r="S3" s="36" t="s">
        <v>284</v>
      </c>
      <c r="T3" s="36" t="s">
        <v>73</v>
      </c>
      <c r="U3" s="36" t="s">
        <v>74</v>
      </c>
      <c r="V3" s="36" t="s">
        <v>75</v>
      </c>
      <c r="W3" s="36" t="s">
        <v>76</v>
      </c>
      <c r="X3" s="36" t="s">
        <v>77</v>
      </c>
      <c r="Y3" s="36" t="s">
        <v>78</v>
      </c>
      <c r="Z3" s="36" t="s">
        <v>300</v>
      </c>
      <c r="AA3" s="36" t="s">
        <v>290</v>
      </c>
      <c r="AB3" s="36" t="s">
        <v>81</v>
      </c>
      <c r="AC3" s="36" t="s">
        <v>82</v>
      </c>
      <c r="AD3" s="36" t="s">
        <v>83</v>
      </c>
      <c r="AE3" s="36" t="s">
        <v>84</v>
      </c>
      <c r="AF3" s="36" t="s">
        <v>85</v>
      </c>
      <c r="AG3" s="36" t="s">
        <v>86</v>
      </c>
      <c r="AH3" s="36" t="s">
        <v>87</v>
      </c>
      <c r="AI3" s="36" t="s">
        <v>88</v>
      </c>
      <c r="AJ3" s="36" t="s">
        <v>89</v>
      </c>
      <c r="AK3" s="36" t="s">
        <v>90</v>
      </c>
      <c r="AL3" s="36" t="s">
        <v>91</v>
      </c>
      <c r="AM3" s="36" t="s">
        <v>92</v>
      </c>
      <c r="AN3" s="36" t="s">
        <v>93</v>
      </c>
      <c r="AO3" s="36" t="s">
        <v>94</v>
      </c>
      <c r="AP3" s="36" t="s">
        <v>95</v>
      </c>
    </row>
    <row r="4" spans="1:58" x14ac:dyDescent="0.25">
      <c r="A4" s="38"/>
      <c r="B4" s="39" t="s">
        <v>96</v>
      </c>
      <c r="C4" s="37" t="s">
        <v>293</v>
      </c>
      <c r="D4" s="39" t="s">
        <v>98</v>
      </c>
      <c r="E4" s="37" t="s">
        <v>279</v>
      </c>
      <c r="F4" s="39" t="s">
        <v>99</v>
      </c>
      <c r="G4" s="39" t="s">
        <v>100</v>
      </c>
      <c r="H4" s="39" t="s">
        <v>101</v>
      </c>
      <c r="I4" s="39" t="s">
        <v>102</v>
      </c>
      <c r="J4" s="223" t="s">
        <v>295</v>
      </c>
      <c r="K4" s="39" t="s">
        <v>104</v>
      </c>
      <c r="L4" s="39" t="s">
        <v>105</v>
      </c>
      <c r="M4" s="39" t="s">
        <v>106</v>
      </c>
      <c r="N4" s="39" t="s">
        <v>107</v>
      </c>
      <c r="O4" s="39" t="s">
        <v>108</v>
      </c>
      <c r="P4" s="39" t="s">
        <v>109</v>
      </c>
      <c r="Q4" s="39" t="s">
        <v>110</v>
      </c>
      <c r="R4" s="39" t="s">
        <v>111</v>
      </c>
      <c r="S4" s="39" t="s">
        <v>285</v>
      </c>
      <c r="T4" s="39" t="s">
        <v>112</v>
      </c>
      <c r="U4" s="39" t="s">
        <v>113</v>
      </c>
      <c r="V4" s="39" t="s">
        <v>114</v>
      </c>
      <c r="W4" s="39" t="s">
        <v>115</v>
      </c>
      <c r="X4" s="39" t="s">
        <v>116</v>
      </c>
      <c r="Y4" s="39" t="s">
        <v>117</v>
      </c>
      <c r="Z4" s="44" t="s">
        <v>299</v>
      </c>
      <c r="AA4" s="39" t="s">
        <v>289</v>
      </c>
      <c r="AB4" s="39" t="s">
        <v>119</v>
      </c>
      <c r="AC4" s="39" t="s">
        <v>120</v>
      </c>
      <c r="AD4" s="39" t="s">
        <v>121</v>
      </c>
      <c r="AE4" s="39" t="s">
        <v>122</v>
      </c>
      <c r="AF4" s="39" t="s">
        <v>123</v>
      </c>
      <c r="AG4" s="39" t="s">
        <v>124</v>
      </c>
      <c r="AH4" s="39" t="s">
        <v>125</v>
      </c>
      <c r="AI4" s="39" t="s">
        <v>126</v>
      </c>
      <c r="AJ4" s="39" t="s">
        <v>127</v>
      </c>
      <c r="AK4" s="39" t="s">
        <v>128</v>
      </c>
      <c r="AL4" s="39" t="s">
        <v>129</v>
      </c>
      <c r="AM4" s="39" t="s">
        <v>130</v>
      </c>
      <c r="AN4" s="39" t="s">
        <v>131</v>
      </c>
      <c r="AO4" s="39" t="s">
        <v>132</v>
      </c>
      <c r="AP4" s="39" t="s">
        <v>133</v>
      </c>
    </row>
    <row r="5" spans="1:58" ht="135" x14ac:dyDescent="0.25">
      <c r="A5" s="34"/>
      <c r="B5" s="52" t="s">
        <v>134</v>
      </c>
      <c r="C5" s="29" t="s">
        <v>135</v>
      </c>
      <c r="D5" s="52" t="s">
        <v>136</v>
      </c>
      <c r="E5" s="29" t="s">
        <v>137</v>
      </c>
      <c r="F5" s="29" t="s">
        <v>138</v>
      </c>
      <c r="G5" s="52" t="s">
        <v>139</v>
      </c>
      <c r="H5" s="52" t="s">
        <v>140</v>
      </c>
      <c r="I5" s="29" t="s">
        <v>141</v>
      </c>
      <c r="J5" s="29" t="s">
        <v>294</v>
      </c>
      <c r="K5" s="34" t="s">
        <v>64</v>
      </c>
      <c r="L5" s="29" t="s">
        <v>142</v>
      </c>
      <c r="M5" s="29" t="s">
        <v>143</v>
      </c>
      <c r="N5" s="29" t="s">
        <v>144</v>
      </c>
      <c r="O5" s="29" t="s">
        <v>145</v>
      </c>
      <c r="P5" s="29" t="s">
        <v>146</v>
      </c>
      <c r="Q5" s="29" t="s">
        <v>147</v>
      </c>
      <c r="R5" s="29" t="s">
        <v>148</v>
      </c>
      <c r="S5" s="29" t="s">
        <v>286</v>
      </c>
      <c r="T5" s="29" t="s">
        <v>149</v>
      </c>
      <c r="U5" s="29" t="s">
        <v>150</v>
      </c>
      <c r="V5" s="29" t="s">
        <v>151</v>
      </c>
      <c r="W5" s="29" t="s">
        <v>152</v>
      </c>
      <c r="X5" s="29" t="s">
        <v>153</v>
      </c>
      <c r="Y5" s="29" t="s">
        <v>154</v>
      </c>
      <c r="Z5" s="226" t="s">
        <v>298</v>
      </c>
      <c r="AA5" s="29" t="s">
        <v>155</v>
      </c>
      <c r="AB5" s="29" t="s">
        <v>156</v>
      </c>
      <c r="AC5" s="29" t="s">
        <v>157</v>
      </c>
      <c r="AD5" s="29" t="s">
        <v>158</v>
      </c>
      <c r="AE5" s="29" t="s">
        <v>159</v>
      </c>
      <c r="AF5" s="29" t="s">
        <v>160</v>
      </c>
      <c r="AG5" s="29" t="s">
        <v>161</v>
      </c>
      <c r="AH5" s="29" t="s">
        <v>162</v>
      </c>
      <c r="AI5" s="29" t="s">
        <v>163</v>
      </c>
      <c r="AJ5" s="29" t="s">
        <v>164</v>
      </c>
      <c r="AK5" s="29" t="s">
        <v>165</v>
      </c>
      <c r="AL5" s="29" t="s">
        <v>166</v>
      </c>
      <c r="AM5" s="29" t="s">
        <v>167</v>
      </c>
      <c r="AN5" s="29" t="s">
        <v>168</v>
      </c>
      <c r="AO5" s="29" t="s">
        <v>169</v>
      </c>
      <c r="AP5" s="29" t="s">
        <v>170</v>
      </c>
    </row>
    <row r="6" spans="1:58" x14ac:dyDescent="0.25">
      <c r="A6" s="40">
        <v>43009</v>
      </c>
      <c r="B6" s="33">
        <v>103.7</v>
      </c>
      <c r="C6" s="33">
        <v>116.9</v>
      </c>
      <c r="D6" s="33">
        <v>114.5</v>
      </c>
      <c r="E6" s="41">
        <v>147.65022424926434</v>
      </c>
      <c r="F6" s="33">
        <v>107.57</v>
      </c>
      <c r="G6" s="33">
        <v>101.4</v>
      </c>
      <c r="H6" s="33">
        <v>105</v>
      </c>
      <c r="I6" s="33">
        <v>96</v>
      </c>
      <c r="J6" s="41">
        <v>84.7</v>
      </c>
      <c r="K6" s="41">
        <v>100</v>
      </c>
      <c r="L6" s="33">
        <v>98.7</v>
      </c>
      <c r="M6" s="33">
        <v>104</v>
      </c>
      <c r="N6" s="33">
        <v>99.2</v>
      </c>
      <c r="O6" s="33"/>
      <c r="P6" s="33">
        <v>98.8</v>
      </c>
      <c r="Q6" s="33">
        <v>100.6</v>
      </c>
      <c r="R6" s="33">
        <v>98.2</v>
      </c>
      <c r="S6" s="197">
        <v>100.6</v>
      </c>
      <c r="T6" s="33"/>
      <c r="U6" s="33"/>
      <c r="V6" s="33">
        <v>97.7</v>
      </c>
      <c r="W6" s="33">
        <v>97.3</v>
      </c>
      <c r="X6" s="33">
        <v>92.3</v>
      </c>
      <c r="Y6" s="33">
        <v>100.2</v>
      </c>
      <c r="Z6" s="41">
        <v>102.7217741935484</v>
      </c>
      <c r="AA6" s="197">
        <v>101.9</v>
      </c>
      <c r="AB6" s="33">
        <v>103.3</v>
      </c>
      <c r="AC6" s="33">
        <v>105</v>
      </c>
      <c r="AD6" s="33">
        <v>96.8</v>
      </c>
      <c r="AE6" s="33">
        <v>97.5</v>
      </c>
      <c r="AF6" s="33">
        <v>101.1</v>
      </c>
      <c r="AG6" s="33">
        <v>100.3</v>
      </c>
      <c r="AH6" s="33">
        <v>96.8</v>
      </c>
      <c r="AI6" s="33">
        <v>106.1</v>
      </c>
      <c r="AJ6" s="33">
        <v>104.3</v>
      </c>
      <c r="AK6" s="33">
        <v>113.3</v>
      </c>
      <c r="AL6" s="33"/>
      <c r="AM6" s="33">
        <v>101.8</v>
      </c>
      <c r="AN6" s="33">
        <v>102.92</v>
      </c>
      <c r="AO6" s="33">
        <v>105.9</v>
      </c>
      <c r="AP6" s="33">
        <v>103.5</v>
      </c>
      <c r="AT6" s="241" t="s">
        <v>266</v>
      </c>
      <c r="AU6" s="241"/>
      <c r="AV6" s="241"/>
      <c r="AW6" s="241"/>
      <c r="AX6" s="241"/>
      <c r="AY6" s="241"/>
      <c r="AZ6" s="241"/>
      <c r="BA6" s="241"/>
      <c r="BB6" s="241"/>
      <c r="BC6" s="241"/>
      <c r="BD6" s="241"/>
      <c r="BE6" s="241"/>
      <c r="BF6" s="241"/>
    </row>
    <row r="7" spans="1:58" x14ac:dyDescent="0.25">
      <c r="A7" s="40">
        <f>EDATE(A6,1)</f>
        <v>43040</v>
      </c>
      <c r="B7" s="33">
        <v>103.5</v>
      </c>
      <c r="C7" s="33">
        <v>117.3</v>
      </c>
      <c r="D7" s="33">
        <v>114.7</v>
      </c>
      <c r="E7" s="41">
        <v>142.91350761432003</v>
      </c>
      <c r="F7" s="33">
        <v>110.15</v>
      </c>
      <c r="G7" s="33">
        <v>101.1</v>
      </c>
      <c r="H7" s="33">
        <v>105</v>
      </c>
      <c r="I7" s="33">
        <v>102.6</v>
      </c>
      <c r="J7" s="41">
        <v>91.6</v>
      </c>
      <c r="K7" s="41">
        <v>109.16469394656747</v>
      </c>
      <c r="L7" s="33">
        <v>99</v>
      </c>
      <c r="M7" s="33">
        <v>104.1</v>
      </c>
      <c r="N7" s="33">
        <v>99.1</v>
      </c>
      <c r="O7" s="33"/>
      <c r="P7" s="33">
        <v>98.9</v>
      </c>
      <c r="Q7" s="33">
        <v>101.2</v>
      </c>
      <c r="R7" s="33">
        <v>98.2</v>
      </c>
      <c r="S7" s="197">
        <v>100.6</v>
      </c>
      <c r="T7" s="33"/>
      <c r="U7" s="33"/>
      <c r="V7" s="33">
        <v>97.2</v>
      </c>
      <c r="W7" s="33">
        <v>97.2</v>
      </c>
      <c r="X7" s="33">
        <v>91.9</v>
      </c>
      <c r="Y7" s="33">
        <v>99.7</v>
      </c>
      <c r="Z7" s="41">
        <v>102.52016129032259</v>
      </c>
      <c r="AA7" s="197">
        <v>102.4</v>
      </c>
      <c r="AB7" s="33">
        <v>102.6</v>
      </c>
      <c r="AC7" s="33">
        <v>103.7</v>
      </c>
      <c r="AD7" s="33">
        <v>96.2</v>
      </c>
      <c r="AE7" s="33">
        <v>97.7</v>
      </c>
      <c r="AF7" s="33">
        <v>101.1</v>
      </c>
      <c r="AG7" s="33">
        <v>100.3</v>
      </c>
      <c r="AH7" s="33">
        <v>96.6</v>
      </c>
      <c r="AI7" s="33">
        <v>106</v>
      </c>
      <c r="AJ7" s="33">
        <v>104</v>
      </c>
      <c r="AK7" s="33">
        <v>110</v>
      </c>
      <c r="AL7" s="33"/>
      <c r="AM7" s="33">
        <v>101.8</v>
      </c>
      <c r="AN7" s="33">
        <v>102.81</v>
      </c>
      <c r="AO7" s="33">
        <v>105.4</v>
      </c>
      <c r="AP7" s="33">
        <v>104.5</v>
      </c>
      <c r="AT7" s="241" t="s">
        <v>267</v>
      </c>
      <c r="AU7" s="241"/>
      <c r="AV7" s="241"/>
      <c r="AW7" s="241"/>
      <c r="AX7" s="241"/>
      <c r="AY7" s="241"/>
      <c r="AZ7" s="241"/>
      <c r="BA7" s="241"/>
      <c r="BB7" s="241"/>
      <c r="BC7" s="241"/>
      <c r="BD7" s="241"/>
      <c r="BE7" s="241"/>
      <c r="BF7" s="241"/>
    </row>
    <row r="8" spans="1:58" x14ac:dyDescent="0.25">
      <c r="A8" s="40">
        <f t="shared" ref="A8:A71" si="0">EDATE(A7,1)</f>
        <v>43070</v>
      </c>
      <c r="B8" s="33">
        <v>103.6</v>
      </c>
      <c r="C8" s="33">
        <v>117.8</v>
      </c>
      <c r="D8" s="33">
        <v>114.9</v>
      </c>
      <c r="E8" s="41">
        <v>142.39144913901657</v>
      </c>
      <c r="F8" s="33">
        <v>110.61</v>
      </c>
      <c r="G8" s="33">
        <v>101.9</v>
      </c>
      <c r="H8" s="33">
        <v>105.6</v>
      </c>
      <c r="I8" s="33">
        <v>107</v>
      </c>
      <c r="J8" s="41">
        <v>98.3</v>
      </c>
      <c r="K8" s="41">
        <v>108.1501521812648</v>
      </c>
      <c r="L8" s="33">
        <v>98.6</v>
      </c>
      <c r="M8" s="33">
        <v>104.2</v>
      </c>
      <c r="N8" s="33">
        <v>98.8</v>
      </c>
      <c r="O8" s="33"/>
      <c r="P8" s="33">
        <v>98.7</v>
      </c>
      <c r="Q8" s="33">
        <v>101.1</v>
      </c>
      <c r="R8" s="33">
        <v>97.6</v>
      </c>
      <c r="S8" s="197">
        <v>100.7</v>
      </c>
      <c r="T8" s="33"/>
      <c r="U8" s="33"/>
      <c r="V8" s="33">
        <v>97</v>
      </c>
      <c r="W8" s="33">
        <v>96</v>
      </c>
      <c r="X8" s="33">
        <v>90.6</v>
      </c>
      <c r="Y8" s="33">
        <v>98.8</v>
      </c>
      <c r="Z8" s="41">
        <v>105.84677419354838</v>
      </c>
      <c r="AA8" s="197">
        <v>101.9</v>
      </c>
      <c r="AB8" s="33">
        <v>103.5</v>
      </c>
      <c r="AC8" s="33">
        <v>104.3</v>
      </c>
      <c r="AD8" s="33">
        <v>96.1</v>
      </c>
      <c r="AE8" s="33">
        <v>98.4</v>
      </c>
      <c r="AF8" s="33">
        <v>101.3</v>
      </c>
      <c r="AG8" s="33">
        <v>100.1</v>
      </c>
      <c r="AH8" s="33">
        <v>96.9</v>
      </c>
      <c r="AI8" s="33">
        <v>105.8</v>
      </c>
      <c r="AJ8" s="33">
        <v>103.9</v>
      </c>
      <c r="AK8" s="33">
        <v>112.3</v>
      </c>
      <c r="AL8" s="33"/>
      <c r="AM8" s="33">
        <v>102.3</v>
      </c>
      <c r="AN8" s="33">
        <v>103.04</v>
      </c>
      <c r="AO8" s="33">
        <v>104</v>
      </c>
      <c r="AP8" s="33">
        <v>103</v>
      </c>
      <c r="AT8" s="180"/>
      <c r="AU8" s="180"/>
      <c r="AV8" s="180"/>
      <c r="AW8" s="180"/>
      <c r="AX8" s="180"/>
      <c r="AY8" s="180"/>
      <c r="AZ8" s="180"/>
      <c r="BA8" s="180"/>
      <c r="BB8" s="180"/>
      <c r="BC8" s="180"/>
      <c r="BD8" s="180"/>
      <c r="BE8" s="180"/>
      <c r="BF8" s="180"/>
    </row>
    <row r="9" spans="1:58" x14ac:dyDescent="0.25">
      <c r="A9" s="40">
        <f t="shared" si="0"/>
        <v>43101</v>
      </c>
      <c r="B9" s="33">
        <v>104.1</v>
      </c>
      <c r="C9" s="33">
        <v>117.8</v>
      </c>
      <c r="D9" s="33">
        <v>115.1</v>
      </c>
      <c r="E9" s="41">
        <v>130.80422550941537</v>
      </c>
      <c r="F9" s="33">
        <v>120.07</v>
      </c>
      <c r="G9" s="33">
        <v>101.5</v>
      </c>
      <c r="H9" s="33">
        <v>105.6</v>
      </c>
      <c r="I9" s="33">
        <v>108.5</v>
      </c>
      <c r="J9" s="41">
        <v>99.2</v>
      </c>
      <c r="K9" s="41">
        <v>109.87487318227933</v>
      </c>
      <c r="L9" s="33">
        <v>98.8</v>
      </c>
      <c r="M9" s="33">
        <v>106.4</v>
      </c>
      <c r="N9" s="33">
        <v>99.6</v>
      </c>
      <c r="O9" s="33">
        <v>127.8</v>
      </c>
      <c r="P9" s="33">
        <v>99</v>
      </c>
      <c r="Q9" s="33">
        <v>101.2</v>
      </c>
      <c r="R9" s="33">
        <v>100.7</v>
      </c>
      <c r="S9" s="197">
        <v>99.7</v>
      </c>
      <c r="T9" s="33">
        <v>123.2</v>
      </c>
      <c r="U9" s="33">
        <v>123.3</v>
      </c>
      <c r="V9" s="33">
        <v>97.4</v>
      </c>
      <c r="W9" s="33">
        <v>97.3</v>
      </c>
      <c r="X9" s="33">
        <v>91.9</v>
      </c>
      <c r="Y9" s="33">
        <v>100.2</v>
      </c>
      <c r="Z9" s="41">
        <v>104.63709677419355</v>
      </c>
      <c r="AA9" s="197">
        <v>102.7</v>
      </c>
      <c r="AB9" s="33">
        <v>104.3</v>
      </c>
      <c r="AC9" s="33">
        <v>104.6</v>
      </c>
      <c r="AD9" s="33">
        <v>96.7</v>
      </c>
      <c r="AE9" s="33">
        <v>99.4</v>
      </c>
      <c r="AF9" s="33">
        <v>101.8</v>
      </c>
      <c r="AG9" s="33">
        <v>100.7</v>
      </c>
      <c r="AH9" s="33">
        <v>97.2</v>
      </c>
      <c r="AI9" s="33">
        <v>106</v>
      </c>
      <c r="AJ9" s="33">
        <v>104.7</v>
      </c>
      <c r="AK9" s="33">
        <v>115.9</v>
      </c>
      <c r="AL9" s="33">
        <v>103.9</v>
      </c>
      <c r="AM9" s="33">
        <v>102.7</v>
      </c>
      <c r="AN9" s="33">
        <v>103.76</v>
      </c>
      <c r="AO9" s="33">
        <v>105.9</v>
      </c>
      <c r="AP9" s="33">
        <v>104.1</v>
      </c>
    </row>
    <row r="10" spans="1:58" x14ac:dyDescent="0.25">
      <c r="A10" s="40">
        <f t="shared" si="0"/>
        <v>43132</v>
      </c>
      <c r="B10" s="33">
        <v>103.8</v>
      </c>
      <c r="C10" s="33">
        <v>117.8</v>
      </c>
      <c r="D10" s="33">
        <v>115.3</v>
      </c>
      <c r="E10" s="41">
        <v>134.18127091843644</v>
      </c>
      <c r="F10" s="33">
        <v>119.28</v>
      </c>
      <c r="G10" s="33">
        <v>101.8</v>
      </c>
      <c r="H10" s="33">
        <v>105.6</v>
      </c>
      <c r="I10" s="33">
        <v>111.8</v>
      </c>
      <c r="J10" s="41">
        <v>98.3</v>
      </c>
      <c r="K10" s="41">
        <v>108.55596888738587</v>
      </c>
      <c r="L10" s="33">
        <v>99.6</v>
      </c>
      <c r="M10" s="33">
        <v>106.5</v>
      </c>
      <c r="N10" s="33">
        <v>99.4</v>
      </c>
      <c r="O10" s="33">
        <v>128.5</v>
      </c>
      <c r="P10" s="33">
        <v>99.4</v>
      </c>
      <c r="Q10" s="33">
        <v>101.2</v>
      </c>
      <c r="R10" s="33">
        <v>99.9</v>
      </c>
      <c r="S10" s="197">
        <v>101.8</v>
      </c>
      <c r="T10" s="33">
        <v>124.1</v>
      </c>
      <c r="U10" s="33">
        <v>124</v>
      </c>
      <c r="V10" s="33">
        <v>98.6</v>
      </c>
      <c r="W10" s="33">
        <v>97.7</v>
      </c>
      <c r="X10" s="33">
        <v>92</v>
      </c>
      <c r="Y10" s="33">
        <v>100.7</v>
      </c>
      <c r="Z10" s="41">
        <v>100.50403225806453</v>
      </c>
      <c r="AA10" s="197">
        <v>102.2</v>
      </c>
      <c r="AB10" s="33">
        <v>105.6</v>
      </c>
      <c r="AC10" s="33">
        <v>105.9</v>
      </c>
      <c r="AD10" s="33">
        <v>97.6</v>
      </c>
      <c r="AE10" s="33">
        <v>99.5</v>
      </c>
      <c r="AF10" s="33">
        <v>101.5</v>
      </c>
      <c r="AG10" s="33">
        <v>100.4</v>
      </c>
      <c r="AH10" s="33">
        <v>96.6</v>
      </c>
      <c r="AI10" s="33">
        <v>106</v>
      </c>
      <c r="AJ10" s="33">
        <v>105.4</v>
      </c>
      <c r="AK10" s="33">
        <v>116.2</v>
      </c>
      <c r="AL10" s="33">
        <v>103.6</v>
      </c>
      <c r="AM10" s="33">
        <v>102.4</v>
      </c>
      <c r="AN10" s="33">
        <v>103.35</v>
      </c>
      <c r="AO10" s="33">
        <v>105.6</v>
      </c>
      <c r="AP10" s="33">
        <v>104.2</v>
      </c>
    </row>
    <row r="11" spans="1:58" x14ac:dyDescent="0.25">
      <c r="A11" s="40">
        <f t="shared" si="0"/>
        <v>43160</v>
      </c>
      <c r="B11" s="33">
        <v>104.1</v>
      </c>
      <c r="C11" s="33">
        <v>117.7</v>
      </c>
      <c r="D11" s="33">
        <v>115.4</v>
      </c>
      <c r="E11" s="41">
        <v>132.80974174380165</v>
      </c>
      <c r="F11" s="33">
        <v>118.6</v>
      </c>
      <c r="G11" s="33">
        <v>102.2</v>
      </c>
      <c r="H11" s="33">
        <v>107.6</v>
      </c>
      <c r="I11" s="33">
        <v>111.6</v>
      </c>
      <c r="J11" s="41">
        <v>99.7</v>
      </c>
      <c r="K11" s="41">
        <v>103.55089617855936</v>
      </c>
      <c r="L11" s="33">
        <v>100.2</v>
      </c>
      <c r="M11" s="33">
        <v>106.5</v>
      </c>
      <c r="N11" s="33">
        <v>100.2</v>
      </c>
      <c r="O11" s="33">
        <v>130.30000000000001</v>
      </c>
      <c r="P11" s="33">
        <v>99.4</v>
      </c>
      <c r="Q11" s="33">
        <v>101.5</v>
      </c>
      <c r="R11" s="33">
        <v>99.4</v>
      </c>
      <c r="S11" s="197">
        <v>100.7</v>
      </c>
      <c r="T11" s="33">
        <v>125.9</v>
      </c>
      <c r="U11" s="33">
        <v>119</v>
      </c>
      <c r="V11" s="33">
        <v>98.5</v>
      </c>
      <c r="W11" s="33">
        <v>98.4</v>
      </c>
      <c r="X11" s="33">
        <v>92.6</v>
      </c>
      <c r="Y11" s="33">
        <v>99.6</v>
      </c>
      <c r="Z11" s="41">
        <v>100.1008064516129</v>
      </c>
      <c r="AA11" s="197">
        <v>102.7</v>
      </c>
      <c r="AB11" s="33">
        <v>105.4</v>
      </c>
      <c r="AC11" s="33">
        <v>104.8</v>
      </c>
      <c r="AD11" s="33">
        <v>97.3</v>
      </c>
      <c r="AE11" s="33">
        <v>99.9</v>
      </c>
      <c r="AF11" s="33">
        <v>101.6</v>
      </c>
      <c r="AG11" s="33">
        <v>100.5</v>
      </c>
      <c r="AH11" s="33">
        <v>97.6</v>
      </c>
      <c r="AI11" s="33">
        <v>106.4</v>
      </c>
      <c r="AJ11" s="33">
        <v>106.1</v>
      </c>
      <c r="AK11" s="33">
        <v>117.2</v>
      </c>
      <c r="AL11" s="33">
        <v>103.4</v>
      </c>
      <c r="AM11" s="33">
        <v>102.9</v>
      </c>
      <c r="AN11" s="33">
        <v>105.4</v>
      </c>
      <c r="AO11" s="33">
        <v>106.4</v>
      </c>
      <c r="AP11" s="33">
        <v>105.5</v>
      </c>
    </row>
    <row r="12" spans="1:58" x14ac:dyDescent="0.25">
      <c r="A12" s="40">
        <f t="shared" si="0"/>
        <v>43191</v>
      </c>
      <c r="B12" s="33">
        <v>104.3</v>
      </c>
      <c r="C12" s="33">
        <v>118</v>
      </c>
      <c r="D12" s="33">
        <v>115.8</v>
      </c>
      <c r="E12" s="41">
        <v>126.96957394725013</v>
      </c>
      <c r="F12" s="33">
        <v>121.2</v>
      </c>
      <c r="G12" s="33">
        <v>102.6</v>
      </c>
      <c r="H12" s="33">
        <v>107.6</v>
      </c>
      <c r="I12" s="33">
        <v>106.3</v>
      </c>
      <c r="J12" s="41">
        <v>93.2</v>
      </c>
      <c r="K12" s="41">
        <v>109.90869124112277</v>
      </c>
      <c r="L12" s="33">
        <v>100.2</v>
      </c>
      <c r="M12" s="33">
        <v>108.5</v>
      </c>
      <c r="N12" s="33">
        <v>101</v>
      </c>
      <c r="O12" s="33">
        <v>131.1</v>
      </c>
      <c r="P12" s="33">
        <v>100.3</v>
      </c>
      <c r="Q12" s="33">
        <v>101.3</v>
      </c>
      <c r="R12" s="33">
        <v>99</v>
      </c>
      <c r="S12" s="197">
        <v>101.4</v>
      </c>
      <c r="T12" s="33">
        <v>126.4</v>
      </c>
      <c r="U12" s="33">
        <v>121.1</v>
      </c>
      <c r="V12" s="33">
        <v>97.9</v>
      </c>
      <c r="W12" s="33">
        <v>99</v>
      </c>
      <c r="X12" s="33">
        <v>93.3</v>
      </c>
      <c r="Y12" s="33">
        <v>100.6</v>
      </c>
      <c r="Z12" s="41">
        <v>99.899193548387089</v>
      </c>
      <c r="AA12" s="197">
        <v>102.5</v>
      </c>
      <c r="AB12" s="33">
        <v>103.7</v>
      </c>
      <c r="AC12" s="33">
        <v>108.9</v>
      </c>
      <c r="AD12" s="33">
        <v>97.2</v>
      </c>
      <c r="AE12" s="33">
        <v>100.1</v>
      </c>
      <c r="AF12" s="33">
        <v>101.5</v>
      </c>
      <c r="AG12" s="33">
        <v>100.4</v>
      </c>
      <c r="AH12" s="33">
        <v>98</v>
      </c>
      <c r="AI12" s="33">
        <v>107</v>
      </c>
      <c r="AJ12" s="33">
        <v>106.8</v>
      </c>
      <c r="AK12" s="33">
        <v>115.7</v>
      </c>
      <c r="AL12" s="33">
        <v>104.2</v>
      </c>
      <c r="AM12" s="33">
        <v>103.3</v>
      </c>
      <c r="AN12" s="33">
        <v>103.76</v>
      </c>
      <c r="AO12" s="33">
        <v>106.6</v>
      </c>
      <c r="AP12" s="33">
        <v>105.6</v>
      </c>
    </row>
    <row r="13" spans="1:58" x14ac:dyDescent="0.25">
      <c r="A13" s="40">
        <f t="shared" si="0"/>
        <v>43221</v>
      </c>
      <c r="B13" s="33">
        <v>104.5</v>
      </c>
      <c r="C13" s="33">
        <v>118.2</v>
      </c>
      <c r="D13" s="33">
        <v>116.1</v>
      </c>
      <c r="E13" s="41">
        <v>123.0612760909417</v>
      </c>
      <c r="F13" s="33">
        <v>125.69</v>
      </c>
      <c r="G13" s="33">
        <v>102.2</v>
      </c>
      <c r="H13" s="33">
        <v>107.6</v>
      </c>
      <c r="I13" s="33">
        <v>102.3</v>
      </c>
      <c r="J13" s="41">
        <v>98.7</v>
      </c>
      <c r="K13" s="41">
        <v>114.23740277308083</v>
      </c>
      <c r="L13" s="33">
        <v>101.1</v>
      </c>
      <c r="M13" s="33">
        <v>108.6</v>
      </c>
      <c r="N13" s="33">
        <v>101.8</v>
      </c>
      <c r="O13" s="33">
        <v>130.19999999999999</v>
      </c>
      <c r="P13" s="33">
        <v>100.9</v>
      </c>
      <c r="Q13" s="33">
        <v>102.5</v>
      </c>
      <c r="R13" s="33">
        <v>99.9</v>
      </c>
      <c r="S13" s="197">
        <v>103.4</v>
      </c>
      <c r="T13" s="33">
        <v>125.8</v>
      </c>
      <c r="U13" s="33">
        <v>130</v>
      </c>
      <c r="V13" s="33">
        <v>98.8</v>
      </c>
      <c r="W13" s="33">
        <v>99</v>
      </c>
      <c r="X13" s="33">
        <v>93.7</v>
      </c>
      <c r="Y13" s="33">
        <v>100.8</v>
      </c>
      <c r="Z13" s="41">
        <v>101.71370967741936</v>
      </c>
      <c r="AA13" s="197">
        <v>102.5</v>
      </c>
      <c r="AB13" s="33">
        <v>104.7</v>
      </c>
      <c r="AC13" s="33">
        <v>108.6</v>
      </c>
      <c r="AD13" s="33">
        <v>97.6</v>
      </c>
      <c r="AE13" s="33">
        <v>98.9</v>
      </c>
      <c r="AF13" s="33">
        <v>101.6</v>
      </c>
      <c r="AG13" s="33">
        <v>100.4</v>
      </c>
      <c r="AH13" s="33">
        <v>96.7</v>
      </c>
      <c r="AI13" s="33">
        <v>107.2</v>
      </c>
      <c r="AJ13" s="33">
        <v>104.8</v>
      </c>
      <c r="AK13" s="33">
        <v>117.5</v>
      </c>
      <c r="AL13" s="33">
        <v>104.6</v>
      </c>
      <c r="AM13" s="33">
        <v>103.3</v>
      </c>
      <c r="AN13" s="33">
        <v>104.42</v>
      </c>
      <c r="AO13" s="33">
        <v>107.7</v>
      </c>
      <c r="AP13" s="33">
        <v>106.2</v>
      </c>
    </row>
    <row r="14" spans="1:58" x14ac:dyDescent="0.25">
      <c r="A14" s="40">
        <f t="shared" si="0"/>
        <v>43252</v>
      </c>
      <c r="B14" s="33">
        <v>104.6</v>
      </c>
      <c r="C14" s="33">
        <v>118.4</v>
      </c>
      <c r="D14" s="33">
        <v>116.5</v>
      </c>
      <c r="E14" s="41">
        <v>124.33703094674891</v>
      </c>
      <c r="F14" s="33">
        <v>126.87</v>
      </c>
      <c r="G14" s="33">
        <v>102.1</v>
      </c>
      <c r="H14" s="33">
        <v>108.1</v>
      </c>
      <c r="I14" s="33">
        <v>97</v>
      </c>
      <c r="J14" s="41">
        <v>106.9</v>
      </c>
      <c r="K14" s="41">
        <v>129.52316537030777</v>
      </c>
      <c r="L14" s="33">
        <v>99.8</v>
      </c>
      <c r="M14" s="33">
        <v>108.6</v>
      </c>
      <c r="N14" s="33">
        <v>101.7</v>
      </c>
      <c r="O14" s="33">
        <v>128</v>
      </c>
      <c r="P14" s="33">
        <v>100.1</v>
      </c>
      <c r="Q14" s="33">
        <v>101.8</v>
      </c>
      <c r="R14" s="33">
        <v>98.1</v>
      </c>
      <c r="S14" s="197">
        <v>103.3</v>
      </c>
      <c r="T14" s="33">
        <v>125.4</v>
      </c>
      <c r="U14" s="33">
        <v>148.9</v>
      </c>
      <c r="V14" s="33">
        <v>98.3</v>
      </c>
      <c r="W14" s="33">
        <v>98.9</v>
      </c>
      <c r="X14" s="33">
        <v>94.4</v>
      </c>
      <c r="Y14" s="33">
        <v>100.9</v>
      </c>
      <c r="Z14" s="41">
        <v>101.61290322580645</v>
      </c>
      <c r="AA14" s="197">
        <v>102.5</v>
      </c>
      <c r="AB14" s="33">
        <v>106.2</v>
      </c>
      <c r="AC14" s="33">
        <v>109.7</v>
      </c>
      <c r="AD14" s="33">
        <v>97.7</v>
      </c>
      <c r="AE14" s="33">
        <v>98.6</v>
      </c>
      <c r="AF14" s="33">
        <v>101.7</v>
      </c>
      <c r="AG14" s="33">
        <v>100.3</v>
      </c>
      <c r="AH14" s="33">
        <v>99.3</v>
      </c>
      <c r="AI14" s="33">
        <v>108.8</v>
      </c>
      <c r="AJ14" s="33">
        <v>103.8</v>
      </c>
      <c r="AK14" s="33">
        <v>116.9</v>
      </c>
      <c r="AL14" s="33">
        <v>104.1</v>
      </c>
      <c r="AM14" s="33">
        <v>102.9</v>
      </c>
      <c r="AN14" s="33">
        <v>105.67</v>
      </c>
      <c r="AO14" s="33">
        <v>107.1</v>
      </c>
      <c r="AP14" s="33">
        <v>106.6</v>
      </c>
    </row>
    <row r="15" spans="1:58" x14ac:dyDescent="0.25">
      <c r="A15" s="40">
        <f t="shared" si="0"/>
        <v>43282</v>
      </c>
      <c r="B15" s="33">
        <v>104.6</v>
      </c>
      <c r="C15" s="33">
        <v>118.7</v>
      </c>
      <c r="D15" s="33">
        <v>116.8</v>
      </c>
      <c r="E15" s="41">
        <v>124.33703094674891</v>
      </c>
      <c r="F15" s="33">
        <v>125.44</v>
      </c>
      <c r="G15" s="33">
        <v>103.7</v>
      </c>
      <c r="H15" s="33">
        <v>108.1</v>
      </c>
      <c r="I15" s="33">
        <v>96.8</v>
      </c>
      <c r="J15" s="41">
        <v>108</v>
      </c>
      <c r="K15" s="41">
        <v>132.53297260737236</v>
      </c>
      <c r="L15" s="33">
        <v>99.4</v>
      </c>
      <c r="M15" s="33">
        <v>109</v>
      </c>
      <c r="N15" s="33">
        <v>101.9</v>
      </c>
      <c r="O15" s="33">
        <v>126.1</v>
      </c>
      <c r="P15" s="33">
        <v>100</v>
      </c>
      <c r="Q15" s="33">
        <v>101.9</v>
      </c>
      <c r="R15" s="33">
        <v>99.1</v>
      </c>
      <c r="S15" s="197">
        <v>103.6</v>
      </c>
      <c r="T15" s="33">
        <v>124.1</v>
      </c>
      <c r="U15" s="33">
        <v>151.19999999999999</v>
      </c>
      <c r="V15" s="33">
        <v>97.7</v>
      </c>
      <c r="W15" s="33">
        <v>98.2</v>
      </c>
      <c r="X15" s="33">
        <v>93.3</v>
      </c>
      <c r="Y15" s="33">
        <v>101</v>
      </c>
      <c r="Z15" s="41">
        <v>104.03225806451613</v>
      </c>
      <c r="AA15" s="197">
        <v>102.9</v>
      </c>
      <c r="AB15" s="33">
        <v>106.8</v>
      </c>
      <c r="AC15" s="33">
        <v>112.1</v>
      </c>
      <c r="AD15" s="33">
        <v>97.5</v>
      </c>
      <c r="AE15" s="33">
        <v>98.7</v>
      </c>
      <c r="AF15" s="33">
        <v>101.6</v>
      </c>
      <c r="AG15" s="33">
        <v>100.1</v>
      </c>
      <c r="AH15" s="33">
        <v>98</v>
      </c>
      <c r="AI15" s="33">
        <v>108.3</v>
      </c>
      <c r="AJ15" s="33">
        <v>103.8</v>
      </c>
      <c r="AK15" s="33">
        <v>116.2</v>
      </c>
      <c r="AL15" s="33">
        <v>104.7</v>
      </c>
      <c r="AM15" s="33">
        <v>103.3</v>
      </c>
      <c r="AN15" s="33">
        <v>108.39</v>
      </c>
      <c r="AO15" s="33">
        <v>107.4</v>
      </c>
      <c r="AP15" s="33">
        <v>106.5</v>
      </c>
    </row>
    <row r="16" spans="1:58" x14ac:dyDescent="0.25">
      <c r="A16" s="40">
        <f t="shared" si="0"/>
        <v>43313</v>
      </c>
      <c r="B16" s="33">
        <v>104.6</v>
      </c>
      <c r="C16" s="33">
        <v>119.1</v>
      </c>
      <c r="D16" s="33">
        <v>117.1</v>
      </c>
      <c r="E16" s="41">
        <v>123.35335190444869</v>
      </c>
      <c r="F16" s="33">
        <v>125.67</v>
      </c>
      <c r="G16" s="33">
        <v>103.9</v>
      </c>
      <c r="H16" s="33">
        <v>108.1</v>
      </c>
      <c r="I16" s="33">
        <v>98.3</v>
      </c>
      <c r="J16" s="41">
        <v>112</v>
      </c>
      <c r="K16" s="41">
        <v>131.01115995941836</v>
      </c>
      <c r="L16" s="33">
        <v>99.9</v>
      </c>
      <c r="M16" s="33">
        <v>109</v>
      </c>
      <c r="N16" s="33">
        <v>102.7</v>
      </c>
      <c r="O16" s="33">
        <v>128</v>
      </c>
      <c r="P16" s="33">
        <v>100.4</v>
      </c>
      <c r="Q16" s="33">
        <v>101.6</v>
      </c>
      <c r="R16" s="33">
        <v>99.2</v>
      </c>
      <c r="S16" s="197">
        <v>103.4</v>
      </c>
      <c r="T16" s="33">
        <v>124.6</v>
      </c>
      <c r="U16" s="33">
        <v>154.6</v>
      </c>
      <c r="V16" s="33">
        <v>98.2</v>
      </c>
      <c r="W16" s="33">
        <v>98.6</v>
      </c>
      <c r="X16" s="33">
        <v>94.1</v>
      </c>
      <c r="Y16" s="33">
        <v>102.1</v>
      </c>
      <c r="Z16" s="41">
        <v>103.72983870967742</v>
      </c>
      <c r="AA16" s="197">
        <v>103.2</v>
      </c>
      <c r="AB16" s="33">
        <v>107.3</v>
      </c>
      <c r="AC16" s="33">
        <v>112</v>
      </c>
      <c r="AD16" s="33">
        <v>97.9</v>
      </c>
      <c r="AE16" s="33">
        <v>100</v>
      </c>
      <c r="AF16" s="33">
        <v>101.5</v>
      </c>
      <c r="AG16" s="33">
        <v>100</v>
      </c>
      <c r="AH16" s="33">
        <v>98.1</v>
      </c>
      <c r="AI16" s="33">
        <v>108.4</v>
      </c>
      <c r="AJ16" s="33">
        <v>103.7</v>
      </c>
      <c r="AK16" s="33">
        <v>116.6</v>
      </c>
      <c r="AL16" s="33">
        <v>104.9</v>
      </c>
      <c r="AM16" s="33">
        <v>103.1</v>
      </c>
      <c r="AN16" s="33">
        <v>110.86</v>
      </c>
      <c r="AO16" s="33">
        <v>106.8</v>
      </c>
      <c r="AP16" s="33">
        <v>104.9</v>
      </c>
    </row>
    <row r="17" spans="1:42" x14ac:dyDescent="0.25">
      <c r="A17" s="40">
        <f t="shared" si="0"/>
        <v>43344</v>
      </c>
      <c r="B17" s="33">
        <v>104.6</v>
      </c>
      <c r="C17" s="33">
        <v>119.5</v>
      </c>
      <c r="D17" s="33">
        <v>117.4</v>
      </c>
      <c r="E17" s="41">
        <v>121.14890194811436</v>
      </c>
      <c r="F17" s="33">
        <v>127.96</v>
      </c>
      <c r="G17" s="33">
        <v>101.9</v>
      </c>
      <c r="H17" s="33">
        <v>108.2</v>
      </c>
      <c r="I17" s="33">
        <v>98.6</v>
      </c>
      <c r="J17" s="41">
        <v>123.9</v>
      </c>
      <c r="K17" s="41">
        <v>132.80351707811977</v>
      </c>
      <c r="L17" s="33">
        <v>100.8</v>
      </c>
      <c r="M17" s="33">
        <v>109.1</v>
      </c>
      <c r="N17" s="33">
        <v>101.8</v>
      </c>
      <c r="O17" s="33">
        <v>129.1</v>
      </c>
      <c r="P17" s="33">
        <v>100.1</v>
      </c>
      <c r="Q17" s="33">
        <v>102.9</v>
      </c>
      <c r="R17" s="33">
        <v>99.4</v>
      </c>
      <c r="S17" s="197">
        <v>104.3</v>
      </c>
      <c r="T17" s="33">
        <v>124.8</v>
      </c>
      <c r="U17" s="33">
        <v>155.19999999999999</v>
      </c>
      <c r="V17" s="33">
        <v>97.6</v>
      </c>
      <c r="W17" s="33">
        <v>99.2</v>
      </c>
      <c r="X17" s="33">
        <v>94.1</v>
      </c>
      <c r="Y17" s="33">
        <v>101.5</v>
      </c>
      <c r="Z17" s="41">
        <v>106.45161290322581</v>
      </c>
      <c r="AA17" s="197">
        <v>103.1</v>
      </c>
      <c r="AB17" s="33">
        <v>107.3</v>
      </c>
      <c r="AC17" s="33">
        <v>112.6</v>
      </c>
      <c r="AD17" s="33">
        <v>98.5</v>
      </c>
      <c r="AE17" s="33">
        <v>97.7</v>
      </c>
      <c r="AF17" s="33">
        <v>101.2</v>
      </c>
      <c r="AG17" s="33">
        <v>99.6</v>
      </c>
      <c r="AH17" s="33">
        <v>98.8</v>
      </c>
      <c r="AI17" s="33">
        <v>109</v>
      </c>
      <c r="AJ17" s="33">
        <v>104.5</v>
      </c>
      <c r="AK17" s="33">
        <v>117.1</v>
      </c>
      <c r="AL17" s="33">
        <v>105.7</v>
      </c>
      <c r="AM17" s="33">
        <v>102.9</v>
      </c>
      <c r="AN17" s="33">
        <v>106.03</v>
      </c>
      <c r="AO17" s="33">
        <v>108.4</v>
      </c>
      <c r="AP17" s="33">
        <v>105.5</v>
      </c>
    </row>
    <row r="18" spans="1:42" x14ac:dyDescent="0.25">
      <c r="A18" s="40">
        <f t="shared" si="0"/>
        <v>43374</v>
      </c>
      <c r="B18" s="33">
        <v>104.3</v>
      </c>
      <c r="C18" s="41">
        <v>119.7</v>
      </c>
      <c r="D18" s="33">
        <v>117.8</v>
      </c>
      <c r="E18" s="41">
        <v>117.4086120536319</v>
      </c>
      <c r="F18" s="33">
        <v>131.94999999999999</v>
      </c>
      <c r="G18" s="33">
        <v>102.6</v>
      </c>
      <c r="H18" s="33">
        <v>108.2</v>
      </c>
      <c r="I18" s="33">
        <v>99.3</v>
      </c>
      <c r="J18" s="41">
        <v>134</v>
      </c>
      <c r="K18" s="41">
        <v>145.48528914440317</v>
      </c>
      <c r="L18" s="33">
        <v>101.6</v>
      </c>
      <c r="M18" s="33">
        <v>109.4</v>
      </c>
      <c r="N18" s="33">
        <v>102.2</v>
      </c>
      <c r="O18" s="33">
        <v>127.8</v>
      </c>
      <c r="P18" s="33">
        <v>100</v>
      </c>
      <c r="Q18" s="33">
        <v>102.8</v>
      </c>
      <c r="R18" s="33">
        <v>99.7</v>
      </c>
      <c r="S18" s="197">
        <v>105.2</v>
      </c>
      <c r="T18" s="33">
        <v>123.6</v>
      </c>
      <c r="U18" s="33">
        <v>159.4</v>
      </c>
      <c r="V18" s="33">
        <v>97.4</v>
      </c>
      <c r="W18" s="33">
        <v>98.6</v>
      </c>
      <c r="X18" s="33">
        <v>93.9</v>
      </c>
      <c r="Y18" s="33">
        <v>100.7</v>
      </c>
      <c r="Z18" s="41">
        <v>106.14919354838709</v>
      </c>
      <c r="AA18" s="197">
        <v>103.6</v>
      </c>
      <c r="AB18" s="33">
        <v>108</v>
      </c>
      <c r="AC18" s="33">
        <v>109.1</v>
      </c>
      <c r="AD18" s="33">
        <v>98.3</v>
      </c>
      <c r="AE18" s="33">
        <v>97.1</v>
      </c>
      <c r="AF18" s="33">
        <v>100.9</v>
      </c>
      <c r="AG18" s="33">
        <v>99.4</v>
      </c>
      <c r="AH18" s="33">
        <v>97.4</v>
      </c>
      <c r="AI18" s="33">
        <v>109.1</v>
      </c>
      <c r="AJ18" s="33">
        <v>106.5</v>
      </c>
      <c r="AK18" s="33">
        <v>117.2</v>
      </c>
      <c r="AL18" s="33">
        <v>105.2</v>
      </c>
      <c r="AM18" s="33">
        <v>103.4</v>
      </c>
      <c r="AN18" s="33">
        <v>105.44</v>
      </c>
      <c r="AO18" s="33">
        <v>107.1</v>
      </c>
      <c r="AP18" s="33">
        <v>104</v>
      </c>
    </row>
    <row r="19" spans="1:42" x14ac:dyDescent="0.25">
      <c r="A19" s="40">
        <f t="shared" si="0"/>
        <v>43405</v>
      </c>
      <c r="B19" s="33">
        <v>104.3</v>
      </c>
      <c r="C19" s="33">
        <v>120</v>
      </c>
      <c r="D19" s="33">
        <v>118.2</v>
      </c>
      <c r="E19" s="41">
        <v>123.941682676648</v>
      </c>
      <c r="F19" s="33">
        <v>128.44</v>
      </c>
      <c r="G19" s="33">
        <v>101.8</v>
      </c>
      <c r="H19" s="33">
        <v>108.2</v>
      </c>
      <c r="I19" s="33">
        <v>105.7</v>
      </c>
      <c r="J19" s="41">
        <v>126.9</v>
      </c>
      <c r="K19" s="41">
        <v>128.84680419343934</v>
      </c>
      <c r="L19" s="33">
        <v>101.1</v>
      </c>
      <c r="M19" s="33">
        <v>109.3</v>
      </c>
      <c r="N19" s="33">
        <v>102.4</v>
      </c>
      <c r="O19" s="33">
        <v>126.6</v>
      </c>
      <c r="P19" s="33">
        <v>100.1</v>
      </c>
      <c r="Q19" s="33">
        <v>102.2</v>
      </c>
      <c r="R19" s="33">
        <v>98.8</v>
      </c>
      <c r="S19" s="197">
        <v>106.2</v>
      </c>
      <c r="T19" s="33">
        <v>123.3</v>
      </c>
      <c r="U19" s="33">
        <v>170.6</v>
      </c>
      <c r="V19" s="33">
        <v>98.1</v>
      </c>
      <c r="W19" s="33">
        <v>97.3</v>
      </c>
      <c r="X19" s="33">
        <v>94.3</v>
      </c>
      <c r="Y19" s="33">
        <v>100</v>
      </c>
      <c r="Z19" s="41">
        <v>103.0241935483871</v>
      </c>
      <c r="AA19" s="197">
        <v>103.7</v>
      </c>
      <c r="AB19" s="33">
        <v>109</v>
      </c>
      <c r="AC19" s="33">
        <v>110.3</v>
      </c>
      <c r="AD19" s="33">
        <v>98.3</v>
      </c>
      <c r="AE19" s="33">
        <v>97.2</v>
      </c>
      <c r="AF19" s="33">
        <v>101.2</v>
      </c>
      <c r="AG19" s="33">
        <v>99.5</v>
      </c>
      <c r="AH19" s="33">
        <v>97.7</v>
      </c>
      <c r="AI19" s="33">
        <v>109.1</v>
      </c>
      <c r="AJ19" s="33">
        <v>105.6</v>
      </c>
      <c r="AK19" s="33">
        <v>116.6</v>
      </c>
      <c r="AL19" s="33">
        <v>104.9</v>
      </c>
      <c r="AM19" s="33">
        <v>103.4</v>
      </c>
      <c r="AN19" s="33">
        <v>105.09</v>
      </c>
      <c r="AO19" s="33">
        <v>106.4</v>
      </c>
      <c r="AP19" s="33">
        <v>103.6</v>
      </c>
    </row>
    <row r="20" spans="1:42" x14ac:dyDescent="0.25">
      <c r="A20" s="40">
        <f t="shared" si="0"/>
        <v>43435</v>
      </c>
      <c r="B20" s="33">
        <v>104.1</v>
      </c>
      <c r="C20" s="33">
        <v>120.2</v>
      </c>
      <c r="D20" s="33">
        <v>118.6</v>
      </c>
      <c r="E20" s="41">
        <v>132.02255445150143</v>
      </c>
      <c r="F20" s="33">
        <v>123.19</v>
      </c>
      <c r="G20" s="33">
        <v>102.7</v>
      </c>
      <c r="H20" s="33">
        <v>108.2</v>
      </c>
      <c r="I20" s="33">
        <v>111.6</v>
      </c>
      <c r="J20" s="41">
        <v>121</v>
      </c>
      <c r="K20" s="41">
        <v>110.04396347649647</v>
      </c>
      <c r="L20" s="33">
        <v>101</v>
      </c>
      <c r="M20" s="33">
        <v>109.5</v>
      </c>
      <c r="N20" s="33">
        <v>102.2</v>
      </c>
      <c r="O20" s="33">
        <v>125.5</v>
      </c>
      <c r="P20" s="33">
        <v>99</v>
      </c>
      <c r="Q20" s="33">
        <v>102.1</v>
      </c>
      <c r="R20" s="33">
        <v>99.6</v>
      </c>
      <c r="S20" s="197">
        <v>106.7</v>
      </c>
      <c r="T20" s="33">
        <v>122.6</v>
      </c>
      <c r="U20" s="33">
        <v>154</v>
      </c>
      <c r="V20" s="33">
        <v>98</v>
      </c>
      <c r="W20" s="33">
        <v>95.3</v>
      </c>
      <c r="X20" s="33">
        <v>95.3</v>
      </c>
      <c r="Y20" s="33">
        <v>99.9</v>
      </c>
      <c r="Z20" s="41">
        <v>103.32661290322581</v>
      </c>
      <c r="AA20" s="197">
        <v>103.6</v>
      </c>
      <c r="AB20" s="33">
        <v>106.6</v>
      </c>
      <c r="AC20" s="33">
        <v>104</v>
      </c>
      <c r="AD20" s="33">
        <v>98</v>
      </c>
      <c r="AE20" s="33">
        <v>97</v>
      </c>
      <c r="AF20" s="33">
        <v>101.1</v>
      </c>
      <c r="AG20" s="33">
        <v>99.4</v>
      </c>
      <c r="AH20" s="33">
        <v>97.2</v>
      </c>
      <c r="AI20" s="33">
        <v>108.9</v>
      </c>
      <c r="AJ20" s="33">
        <v>104.2</v>
      </c>
      <c r="AK20" s="33">
        <v>116.1</v>
      </c>
      <c r="AL20" s="33">
        <v>104.4</v>
      </c>
      <c r="AM20" s="33">
        <v>103.5</v>
      </c>
      <c r="AN20" s="33">
        <v>104.99</v>
      </c>
      <c r="AO20" s="33">
        <v>107.1</v>
      </c>
      <c r="AP20" s="33">
        <v>104.1</v>
      </c>
    </row>
    <row r="21" spans="1:42" x14ac:dyDescent="0.25">
      <c r="A21" s="40">
        <f t="shared" si="0"/>
        <v>43466</v>
      </c>
      <c r="B21" s="33">
        <v>104.7</v>
      </c>
      <c r="C21" s="33">
        <v>120.8</v>
      </c>
      <c r="D21" s="33">
        <v>118.8</v>
      </c>
      <c r="E21" s="41">
        <v>131.91086024299761</v>
      </c>
      <c r="F21" s="33">
        <v>121.15</v>
      </c>
      <c r="G21" s="33">
        <v>102.3</v>
      </c>
      <c r="H21" s="33">
        <v>108.2</v>
      </c>
      <c r="I21" s="33">
        <v>115.3</v>
      </c>
      <c r="J21" s="41">
        <v>115.2</v>
      </c>
      <c r="K21" s="41">
        <v>111.83632059519786</v>
      </c>
      <c r="L21" s="33">
        <v>101.1</v>
      </c>
      <c r="M21" s="33">
        <v>109.6</v>
      </c>
      <c r="N21" s="33">
        <v>103.8</v>
      </c>
      <c r="O21" s="33">
        <v>124.6</v>
      </c>
      <c r="P21" s="33">
        <v>101</v>
      </c>
      <c r="Q21" s="33">
        <v>101.6</v>
      </c>
      <c r="R21" s="33">
        <v>104</v>
      </c>
      <c r="S21" s="197">
        <v>107.2</v>
      </c>
      <c r="T21" s="33">
        <v>123.3</v>
      </c>
      <c r="U21" s="33">
        <v>135.80000000000001</v>
      </c>
      <c r="V21" s="33">
        <v>98.6</v>
      </c>
      <c r="W21" s="33">
        <v>99.1</v>
      </c>
      <c r="X21" s="33">
        <v>95</v>
      </c>
      <c r="Y21" s="33">
        <v>100.2</v>
      </c>
      <c r="Z21" s="41">
        <v>103.4274193548387</v>
      </c>
      <c r="AA21" s="197">
        <v>104.1</v>
      </c>
      <c r="AB21" s="33">
        <v>104</v>
      </c>
      <c r="AC21" s="33">
        <v>107</v>
      </c>
      <c r="AD21" s="33">
        <v>99.1</v>
      </c>
      <c r="AE21" s="33">
        <v>97.2</v>
      </c>
      <c r="AF21" s="33">
        <v>102.4</v>
      </c>
      <c r="AG21" s="33">
        <v>101.4</v>
      </c>
      <c r="AH21" s="33">
        <v>99</v>
      </c>
      <c r="AI21" s="33">
        <v>108.3</v>
      </c>
      <c r="AJ21" s="33">
        <v>107.8</v>
      </c>
      <c r="AK21" s="33">
        <v>115.8</v>
      </c>
      <c r="AL21" s="33">
        <v>102.7</v>
      </c>
      <c r="AM21" s="33">
        <v>104.1</v>
      </c>
      <c r="AN21" s="33">
        <v>105.77</v>
      </c>
      <c r="AO21" s="33">
        <v>107.7</v>
      </c>
      <c r="AP21" s="33">
        <v>103</v>
      </c>
    </row>
    <row r="22" spans="1:42" x14ac:dyDescent="0.25">
      <c r="A22" s="40">
        <f t="shared" si="0"/>
        <v>43497</v>
      </c>
      <c r="B22" s="33">
        <v>104.7</v>
      </c>
      <c r="C22" s="33">
        <v>121.4</v>
      </c>
      <c r="D22" s="33">
        <v>118.9</v>
      </c>
      <c r="E22" s="41">
        <v>127.28051984263119</v>
      </c>
      <c r="F22" s="33">
        <v>124.46</v>
      </c>
      <c r="G22" s="33">
        <v>102.7</v>
      </c>
      <c r="H22" s="33">
        <v>108.2</v>
      </c>
      <c r="I22" s="33">
        <v>123.6</v>
      </c>
      <c r="J22" s="41">
        <v>102.1</v>
      </c>
      <c r="K22" s="41">
        <v>125.83699695637475</v>
      </c>
      <c r="L22" s="33">
        <v>100.8</v>
      </c>
      <c r="M22" s="33">
        <v>109.7</v>
      </c>
      <c r="N22" s="33">
        <v>104.2</v>
      </c>
      <c r="O22" s="33">
        <v>123.8</v>
      </c>
      <c r="P22" s="33">
        <v>101.1</v>
      </c>
      <c r="Q22" s="33">
        <v>101</v>
      </c>
      <c r="R22" s="33">
        <v>103.5</v>
      </c>
      <c r="S22" s="197">
        <v>107.3</v>
      </c>
      <c r="T22" s="33">
        <v>122</v>
      </c>
      <c r="U22" s="33">
        <v>140.5</v>
      </c>
      <c r="V22" s="33">
        <v>99.9</v>
      </c>
      <c r="W22" s="33">
        <v>99</v>
      </c>
      <c r="X22" s="33">
        <v>94</v>
      </c>
      <c r="Y22" s="33">
        <v>102</v>
      </c>
      <c r="Z22" s="41">
        <v>104.13306451612902</v>
      </c>
      <c r="AA22" s="197">
        <v>104.5</v>
      </c>
      <c r="AB22" s="33">
        <v>104.4</v>
      </c>
      <c r="AC22" s="33">
        <v>108</v>
      </c>
      <c r="AD22" s="33">
        <v>100.1</v>
      </c>
      <c r="AE22" s="33">
        <v>97.2</v>
      </c>
      <c r="AF22" s="33">
        <v>102.4</v>
      </c>
      <c r="AG22" s="33">
        <v>101.3</v>
      </c>
      <c r="AH22" s="33">
        <v>97.3</v>
      </c>
      <c r="AI22" s="33">
        <v>108.1</v>
      </c>
      <c r="AJ22" s="33">
        <v>107.4</v>
      </c>
      <c r="AK22" s="33">
        <v>114.9</v>
      </c>
      <c r="AL22" s="33">
        <v>102.9</v>
      </c>
      <c r="AM22" s="33">
        <v>105.9</v>
      </c>
      <c r="AN22" s="33">
        <v>105.16</v>
      </c>
      <c r="AO22" s="33">
        <v>108.1</v>
      </c>
      <c r="AP22" s="33">
        <v>102.8</v>
      </c>
    </row>
    <row r="23" spans="1:42" x14ac:dyDescent="0.25">
      <c r="A23" s="40">
        <f t="shared" si="0"/>
        <v>43525</v>
      </c>
      <c r="B23" s="33">
        <v>105.7</v>
      </c>
      <c r="C23" s="33">
        <v>122</v>
      </c>
      <c r="D23" s="33">
        <v>119.1</v>
      </c>
      <c r="E23" s="41">
        <v>126.24990834592971</v>
      </c>
      <c r="F23" s="33">
        <v>126.59</v>
      </c>
      <c r="G23" s="33">
        <v>102.5</v>
      </c>
      <c r="H23" s="33">
        <v>109</v>
      </c>
      <c r="I23" s="33">
        <v>125.6</v>
      </c>
      <c r="J23" s="41">
        <v>85.6</v>
      </c>
      <c r="K23" s="41">
        <v>128.77916807575249</v>
      </c>
      <c r="L23" s="33">
        <v>100.4</v>
      </c>
      <c r="M23" s="33">
        <v>109.6</v>
      </c>
      <c r="N23" s="33">
        <v>104.3</v>
      </c>
      <c r="O23" s="33">
        <v>123.9</v>
      </c>
      <c r="P23" s="33">
        <v>101</v>
      </c>
      <c r="Q23" s="33">
        <v>100.8</v>
      </c>
      <c r="R23" s="33">
        <v>102.6</v>
      </c>
      <c r="S23" s="197">
        <v>106.8</v>
      </c>
      <c r="T23" s="33">
        <v>121.8</v>
      </c>
      <c r="U23" s="33">
        <v>153.30000000000001</v>
      </c>
      <c r="V23" s="33">
        <v>100.4</v>
      </c>
      <c r="W23" s="33">
        <v>97.9</v>
      </c>
      <c r="X23" s="33">
        <v>94.1</v>
      </c>
      <c r="Y23" s="33">
        <v>101.1</v>
      </c>
      <c r="Z23" s="41">
        <v>105.64516129032258</v>
      </c>
      <c r="AA23" s="197">
        <v>104.5</v>
      </c>
      <c r="AB23" s="33">
        <v>104.8</v>
      </c>
      <c r="AC23" s="33">
        <v>106.6</v>
      </c>
      <c r="AD23" s="33">
        <v>100</v>
      </c>
      <c r="AE23" s="33">
        <v>97.4</v>
      </c>
      <c r="AF23" s="33">
        <v>102.2</v>
      </c>
      <c r="AG23" s="33">
        <v>101.2</v>
      </c>
      <c r="AH23" s="33">
        <v>99.8</v>
      </c>
      <c r="AI23" s="33">
        <v>108.3</v>
      </c>
      <c r="AJ23" s="33">
        <v>107.3</v>
      </c>
      <c r="AK23" s="33">
        <v>115.4</v>
      </c>
      <c r="AL23" s="33">
        <v>102.7</v>
      </c>
      <c r="AM23" s="33">
        <v>105.9</v>
      </c>
      <c r="AN23" s="33">
        <v>105.83</v>
      </c>
      <c r="AO23" s="33">
        <v>108.7</v>
      </c>
      <c r="AP23" s="33">
        <v>103.8</v>
      </c>
    </row>
    <row r="24" spans="1:42" x14ac:dyDescent="0.25">
      <c r="A24" s="40">
        <f t="shared" si="0"/>
        <v>43556</v>
      </c>
      <c r="B24" s="33">
        <v>105.3</v>
      </c>
      <c r="C24" s="33">
        <v>122.3</v>
      </c>
      <c r="D24" s="33">
        <v>119.2</v>
      </c>
      <c r="E24" s="41">
        <v>123.94168267664801</v>
      </c>
      <c r="F24" s="33">
        <v>127.27</v>
      </c>
      <c r="G24" s="33">
        <v>103.4</v>
      </c>
      <c r="H24" s="33">
        <v>109</v>
      </c>
      <c r="I24" s="33">
        <v>119.5</v>
      </c>
      <c r="J24" s="41">
        <v>76.599999999999994</v>
      </c>
      <c r="K24" s="41">
        <v>132.80351707811977</v>
      </c>
      <c r="L24" s="33">
        <v>98.8</v>
      </c>
      <c r="M24" s="33">
        <v>109.7</v>
      </c>
      <c r="N24" s="33">
        <v>104.1</v>
      </c>
      <c r="O24" s="33">
        <v>123.8</v>
      </c>
      <c r="P24" s="33">
        <v>101.8</v>
      </c>
      <c r="Q24" s="33">
        <v>99.9</v>
      </c>
      <c r="R24" s="33">
        <v>102.3</v>
      </c>
      <c r="S24" s="197">
        <v>106.5</v>
      </c>
      <c r="T24" s="33">
        <v>122.1</v>
      </c>
      <c r="U24" s="33">
        <v>157</v>
      </c>
      <c r="V24" s="33">
        <v>100.5</v>
      </c>
      <c r="W24" s="33">
        <v>99.2</v>
      </c>
      <c r="X24" s="33">
        <v>94</v>
      </c>
      <c r="Y24" s="33">
        <v>101.5</v>
      </c>
      <c r="Z24" s="41">
        <v>106.85483870967742</v>
      </c>
      <c r="AA24" s="197">
        <v>104.8</v>
      </c>
      <c r="AB24" s="33">
        <v>105.4</v>
      </c>
      <c r="AC24" s="33">
        <v>107.4</v>
      </c>
      <c r="AD24" s="33">
        <v>100.6</v>
      </c>
      <c r="AE24" s="33">
        <v>98.9</v>
      </c>
      <c r="AF24" s="33">
        <v>102.3</v>
      </c>
      <c r="AG24" s="33">
        <v>101.3</v>
      </c>
      <c r="AH24" s="33">
        <v>101.4</v>
      </c>
      <c r="AI24" s="33">
        <v>108.6</v>
      </c>
      <c r="AJ24" s="33">
        <v>106.8</v>
      </c>
      <c r="AK24" s="33">
        <v>115.2</v>
      </c>
      <c r="AL24" s="33">
        <v>101.5</v>
      </c>
      <c r="AM24" s="33">
        <v>106.2</v>
      </c>
      <c r="AN24" s="33">
        <v>105.72</v>
      </c>
      <c r="AO24" s="33">
        <v>108.5</v>
      </c>
      <c r="AP24" s="33">
        <v>103.2</v>
      </c>
    </row>
    <row r="25" spans="1:42" x14ac:dyDescent="0.25">
      <c r="A25" s="40">
        <f t="shared" si="0"/>
        <v>43586</v>
      </c>
      <c r="B25" s="33">
        <v>105</v>
      </c>
      <c r="C25" s="33">
        <v>122.5</v>
      </c>
      <c r="D25" s="33">
        <v>119.3</v>
      </c>
      <c r="E25" s="224">
        <v>123.4</v>
      </c>
      <c r="F25" s="33">
        <v>128.47999999999999</v>
      </c>
      <c r="G25" s="33">
        <v>102.8</v>
      </c>
      <c r="H25" s="33">
        <v>109</v>
      </c>
      <c r="I25" s="33">
        <v>107.4</v>
      </c>
      <c r="J25" s="41">
        <v>71.5</v>
      </c>
      <c r="K25" s="41">
        <v>129.21880284071699</v>
      </c>
      <c r="L25" s="33">
        <v>99</v>
      </c>
      <c r="M25" s="33">
        <v>109.7</v>
      </c>
      <c r="N25" s="33">
        <v>104.9</v>
      </c>
      <c r="O25" s="33">
        <v>123</v>
      </c>
      <c r="P25" s="33">
        <v>101.9</v>
      </c>
      <c r="Q25" s="33">
        <v>101.1</v>
      </c>
      <c r="R25" s="33">
        <v>101.5</v>
      </c>
      <c r="S25" s="197">
        <v>106.4</v>
      </c>
      <c r="T25" s="33">
        <v>120.4</v>
      </c>
      <c r="U25" s="33">
        <v>161.80000000000001</v>
      </c>
      <c r="V25" s="33">
        <v>101.8</v>
      </c>
      <c r="W25" s="33">
        <v>100.1</v>
      </c>
      <c r="X25" s="33">
        <v>94.8</v>
      </c>
      <c r="Y25" s="33">
        <v>101.4</v>
      </c>
      <c r="Z25" s="41">
        <v>106.35080645161291</v>
      </c>
      <c r="AA25" s="197">
        <v>104.9</v>
      </c>
      <c r="AB25" s="33">
        <v>107.6</v>
      </c>
      <c r="AC25" s="33">
        <v>107</v>
      </c>
      <c r="AD25" s="33">
        <v>100.8</v>
      </c>
      <c r="AE25" s="33">
        <v>98.1</v>
      </c>
      <c r="AF25" s="33">
        <v>102.3</v>
      </c>
      <c r="AG25" s="33">
        <v>101</v>
      </c>
      <c r="AH25" s="33">
        <v>101.5</v>
      </c>
      <c r="AI25" s="33">
        <v>107.7</v>
      </c>
      <c r="AJ25" s="33">
        <v>106.4</v>
      </c>
      <c r="AK25" s="33">
        <v>114.4</v>
      </c>
      <c r="AL25" s="33">
        <v>102.5</v>
      </c>
      <c r="AM25" s="33">
        <v>106.2</v>
      </c>
      <c r="AN25" s="33">
        <v>106.04</v>
      </c>
      <c r="AO25" s="33">
        <v>108.7</v>
      </c>
      <c r="AP25" s="33">
        <v>102.9</v>
      </c>
    </row>
    <row r="26" spans="1:42" x14ac:dyDescent="0.25">
      <c r="A26" s="40">
        <f t="shared" si="0"/>
        <v>43617</v>
      </c>
      <c r="B26" s="33">
        <v>104.9</v>
      </c>
      <c r="C26" s="33">
        <v>122.7</v>
      </c>
      <c r="D26" s="33">
        <v>119.4</v>
      </c>
      <c r="E26" s="41">
        <v>130.04056447641634</v>
      </c>
      <c r="F26" s="33">
        <v>123.57</v>
      </c>
      <c r="G26" s="33">
        <v>103.6</v>
      </c>
      <c r="H26" s="33">
        <v>110.1</v>
      </c>
      <c r="I26" s="33">
        <v>103.3</v>
      </c>
      <c r="J26" s="41">
        <v>61.3</v>
      </c>
      <c r="K26" s="41">
        <v>117.65302671626651</v>
      </c>
      <c r="L26" s="33">
        <v>99.5</v>
      </c>
      <c r="M26" s="33">
        <v>109.8</v>
      </c>
      <c r="N26" s="33">
        <v>105.3</v>
      </c>
      <c r="O26" s="33">
        <v>122</v>
      </c>
      <c r="P26" s="33">
        <v>101.4</v>
      </c>
      <c r="Q26" s="33">
        <v>100.6</v>
      </c>
      <c r="R26" s="33">
        <v>102</v>
      </c>
      <c r="S26" s="197">
        <v>106.8</v>
      </c>
      <c r="T26" s="33">
        <v>118.8</v>
      </c>
      <c r="U26" s="33">
        <v>158.4</v>
      </c>
      <c r="V26" s="33">
        <v>101.5</v>
      </c>
      <c r="W26" s="33">
        <v>100.1</v>
      </c>
      <c r="X26" s="33">
        <v>95.1</v>
      </c>
      <c r="Y26" s="33">
        <v>101.9</v>
      </c>
      <c r="Z26" s="41">
        <v>105.44354838709677</v>
      </c>
      <c r="AA26" s="197">
        <v>105.6</v>
      </c>
      <c r="AB26" s="33">
        <v>105.6</v>
      </c>
      <c r="AC26" s="33">
        <v>107.9</v>
      </c>
      <c r="AD26" s="33">
        <v>100.9</v>
      </c>
      <c r="AE26" s="33">
        <v>96.4</v>
      </c>
      <c r="AF26" s="33">
        <v>102.3</v>
      </c>
      <c r="AG26" s="33">
        <v>101</v>
      </c>
      <c r="AH26" s="33">
        <v>99.9</v>
      </c>
      <c r="AI26" s="33">
        <v>107.9</v>
      </c>
      <c r="AJ26" s="33">
        <v>108.2</v>
      </c>
      <c r="AK26" s="33">
        <v>115.2</v>
      </c>
      <c r="AL26" s="33">
        <v>101.4</v>
      </c>
      <c r="AM26" s="33">
        <v>106.2</v>
      </c>
      <c r="AN26" s="33">
        <v>107.32</v>
      </c>
      <c r="AO26" s="33">
        <v>108.7</v>
      </c>
      <c r="AP26" s="33">
        <v>102.4</v>
      </c>
    </row>
    <row r="27" spans="1:42" x14ac:dyDescent="0.25">
      <c r="A27" s="40">
        <f t="shared" si="0"/>
        <v>43647</v>
      </c>
      <c r="B27" s="33">
        <v>105</v>
      </c>
      <c r="C27" s="33">
        <v>122.9</v>
      </c>
      <c r="D27" s="33">
        <v>119.6</v>
      </c>
      <c r="E27" s="41">
        <v>128.32809613763226</v>
      </c>
      <c r="F27" s="33">
        <v>123.15</v>
      </c>
      <c r="G27" s="33">
        <v>104.9</v>
      </c>
      <c r="H27" s="33">
        <v>110.1</v>
      </c>
      <c r="I27" s="33">
        <v>104.2</v>
      </c>
      <c r="J27" s="41">
        <v>53.8</v>
      </c>
      <c r="K27" s="41">
        <v>126.91917483936426</v>
      </c>
      <c r="L27" s="33">
        <v>101.2</v>
      </c>
      <c r="M27" s="33">
        <v>107.8</v>
      </c>
      <c r="N27" s="33">
        <v>105.4</v>
      </c>
      <c r="O27" s="33">
        <v>120.5</v>
      </c>
      <c r="P27" s="33">
        <v>101.5</v>
      </c>
      <c r="Q27" s="33">
        <v>100.5</v>
      </c>
      <c r="R27" s="33">
        <v>102</v>
      </c>
      <c r="S27" s="197">
        <v>107.5</v>
      </c>
      <c r="T27" s="33">
        <v>118.7</v>
      </c>
      <c r="U27" s="33">
        <v>151.69999999999999</v>
      </c>
      <c r="V27" s="33">
        <v>101.6</v>
      </c>
      <c r="W27" s="33">
        <v>100.3</v>
      </c>
      <c r="X27" s="33">
        <v>95.1</v>
      </c>
      <c r="Y27" s="33">
        <v>101.7</v>
      </c>
      <c r="Z27" s="41">
        <v>105.84677419354838</v>
      </c>
      <c r="AA27" s="197">
        <v>106.4</v>
      </c>
      <c r="AB27" s="33">
        <v>101.9</v>
      </c>
      <c r="AC27" s="33">
        <v>106.6</v>
      </c>
      <c r="AD27" s="33">
        <v>101</v>
      </c>
      <c r="AE27" s="33">
        <v>95.2</v>
      </c>
      <c r="AF27" s="33">
        <v>102.6</v>
      </c>
      <c r="AG27" s="33">
        <v>101.2</v>
      </c>
      <c r="AH27" s="33">
        <v>98.5</v>
      </c>
      <c r="AI27" s="33">
        <v>107.9</v>
      </c>
      <c r="AJ27" s="33">
        <v>106.8</v>
      </c>
      <c r="AK27" s="33">
        <v>113.1</v>
      </c>
      <c r="AL27" s="33">
        <v>99</v>
      </c>
      <c r="AM27" s="33">
        <v>106.7</v>
      </c>
      <c r="AN27" s="33">
        <v>110.03</v>
      </c>
      <c r="AO27" s="33">
        <v>109.1</v>
      </c>
      <c r="AP27" s="33">
        <v>101.2</v>
      </c>
    </row>
    <row r="28" spans="1:42" x14ac:dyDescent="0.25">
      <c r="A28" s="40">
        <f t="shared" si="0"/>
        <v>43678</v>
      </c>
      <c r="B28" s="33">
        <v>105.1</v>
      </c>
      <c r="C28" s="33">
        <v>123.1</v>
      </c>
      <c r="D28" s="33">
        <v>119.8</v>
      </c>
      <c r="E28" s="41">
        <v>130.04056447641634</v>
      </c>
      <c r="F28" s="33">
        <v>122.39</v>
      </c>
      <c r="G28" s="33">
        <v>104.9</v>
      </c>
      <c r="H28" s="33">
        <v>110.1</v>
      </c>
      <c r="I28" s="33">
        <v>106.7</v>
      </c>
      <c r="J28" s="41">
        <v>53.1</v>
      </c>
      <c r="K28" s="41">
        <v>103.07744335475147</v>
      </c>
      <c r="L28" s="33">
        <v>100.7</v>
      </c>
      <c r="M28" s="33">
        <v>107.8</v>
      </c>
      <c r="N28" s="33">
        <v>106.7</v>
      </c>
      <c r="O28" s="33">
        <v>119.8</v>
      </c>
      <c r="P28" s="33">
        <v>101.4</v>
      </c>
      <c r="Q28" s="33">
        <v>99.9</v>
      </c>
      <c r="R28" s="33">
        <v>102.1</v>
      </c>
      <c r="S28" s="197">
        <v>106.8</v>
      </c>
      <c r="T28" s="33">
        <v>116.4</v>
      </c>
      <c r="U28" s="33">
        <v>154.19999999999999</v>
      </c>
      <c r="V28" s="33">
        <v>102.4</v>
      </c>
      <c r="W28" s="33">
        <v>100.5</v>
      </c>
      <c r="X28" s="33">
        <v>94.9</v>
      </c>
      <c r="Y28" s="33">
        <v>102.6</v>
      </c>
      <c r="Z28" s="41">
        <v>107.96370967741935</v>
      </c>
      <c r="AA28" s="197">
        <v>106.6</v>
      </c>
      <c r="AB28" s="33">
        <v>101</v>
      </c>
      <c r="AC28" s="33">
        <v>107</v>
      </c>
      <c r="AD28" s="33">
        <v>101.7</v>
      </c>
      <c r="AE28" s="33">
        <v>94.1</v>
      </c>
      <c r="AF28" s="33">
        <v>103</v>
      </c>
      <c r="AG28" s="33">
        <v>101.7</v>
      </c>
      <c r="AH28" s="33">
        <v>98</v>
      </c>
      <c r="AI28" s="33">
        <v>107.9</v>
      </c>
      <c r="AJ28" s="33">
        <v>110.7</v>
      </c>
      <c r="AK28" s="33">
        <v>112.6</v>
      </c>
      <c r="AL28" s="33">
        <v>100.2</v>
      </c>
      <c r="AM28" s="33">
        <v>106.6</v>
      </c>
      <c r="AN28" s="33">
        <v>111.71</v>
      </c>
      <c r="AO28" s="33">
        <v>109.1</v>
      </c>
      <c r="AP28" s="33">
        <v>100.7</v>
      </c>
    </row>
    <row r="29" spans="1:42" x14ac:dyDescent="0.25">
      <c r="A29" s="40">
        <f t="shared" si="0"/>
        <v>43709</v>
      </c>
      <c r="B29" s="33">
        <v>105.7</v>
      </c>
      <c r="C29" s="33">
        <v>123.3</v>
      </c>
      <c r="D29" s="33">
        <v>119.9</v>
      </c>
      <c r="E29" s="41">
        <v>126.45469327430915</v>
      </c>
      <c r="F29" s="33">
        <v>124.29</v>
      </c>
      <c r="G29" s="33">
        <v>103.1</v>
      </c>
      <c r="H29" s="33">
        <v>110.1</v>
      </c>
      <c r="I29" s="33">
        <v>107</v>
      </c>
      <c r="J29" s="41">
        <v>52.9</v>
      </c>
      <c r="K29" s="41">
        <v>115.59012512681774</v>
      </c>
      <c r="L29" s="33">
        <v>98.9</v>
      </c>
      <c r="M29" s="33">
        <v>107.8</v>
      </c>
      <c r="N29" s="33">
        <v>105.2</v>
      </c>
      <c r="O29" s="33">
        <v>118.3</v>
      </c>
      <c r="P29" s="33">
        <v>101.4</v>
      </c>
      <c r="Q29" s="33">
        <v>99.5</v>
      </c>
      <c r="R29" s="33">
        <v>101.8</v>
      </c>
      <c r="S29" s="197">
        <v>107.9</v>
      </c>
      <c r="T29" s="33">
        <v>116.4</v>
      </c>
      <c r="U29" s="33">
        <v>140.9</v>
      </c>
      <c r="V29" s="33">
        <v>101.6</v>
      </c>
      <c r="W29" s="33">
        <v>100.9</v>
      </c>
      <c r="X29" s="33">
        <v>95.5</v>
      </c>
      <c r="Y29" s="33">
        <v>101.8</v>
      </c>
      <c r="Z29" s="41">
        <v>107.25806451612904</v>
      </c>
      <c r="AA29" s="197">
        <v>106.5</v>
      </c>
      <c r="AB29" s="33">
        <v>100.8</v>
      </c>
      <c r="AC29" s="33">
        <v>108.3</v>
      </c>
      <c r="AD29" s="33">
        <v>101.5</v>
      </c>
      <c r="AE29" s="33">
        <v>94.1</v>
      </c>
      <c r="AF29" s="33">
        <v>103.2</v>
      </c>
      <c r="AG29" s="33">
        <v>101.9</v>
      </c>
      <c r="AH29" s="33">
        <v>98.2</v>
      </c>
      <c r="AI29" s="33">
        <v>108</v>
      </c>
      <c r="AJ29" s="33">
        <v>108</v>
      </c>
      <c r="AK29" s="33">
        <v>111.1</v>
      </c>
      <c r="AL29" s="33">
        <v>99.3</v>
      </c>
      <c r="AM29" s="33">
        <v>107.1</v>
      </c>
      <c r="AN29" s="33">
        <v>107.75</v>
      </c>
      <c r="AO29" s="33">
        <v>108.7</v>
      </c>
      <c r="AP29" s="33">
        <v>100.7</v>
      </c>
    </row>
    <row r="30" spans="1:42" x14ac:dyDescent="0.25">
      <c r="A30" s="40">
        <f t="shared" si="0"/>
        <v>43739</v>
      </c>
      <c r="B30" s="33">
        <v>105.6</v>
      </c>
      <c r="C30" s="33">
        <v>123.5</v>
      </c>
      <c r="D30" s="33">
        <v>120</v>
      </c>
      <c r="E30" s="41">
        <v>127.38450719544376</v>
      </c>
      <c r="F30" s="33">
        <v>124.77</v>
      </c>
      <c r="G30" s="33">
        <v>103.7</v>
      </c>
      <c r="H30" s="33">
        <v>110.1</v>
      </c>
      <c r="I30" s="33">
        <v>109</v>
      </c>
      <c r="J30" s="41">
        <v>59.4</v>
      </c>
      <c r="K30" s="41">
        <v>98.647277646263106</v>
      </c>
      <c r="L30" s="33">
        <v>99.7</v>
      </c>
      <c r="M30" s="33">
        <v>107.8</v>
      </c>
      <c r="N30" s="33">
        <v>104.7</v>
      </c>
      <c r="O30" s="33">
        <v>114.1</v>
      </c>
      <c r="P30" s="33">
        <v>101.2</v>
      </c>
      <c r="Q30" s="33">
        <v>99.2</v>
      </c>
      <c r="R30" s="33">
        <v>101.4</v>
      </c>
      <c r="S30" s="197">
        <v>107.6</v>
      </c>
      <c r="T30" s="33">
        <v>111.7</v>
      </c>
      <c r="U30" s="33">
        <v>147</v>
      </c>
      <c r="V30" s="33">
        <v>101.5</v>
      </c>
      <c r="W30" s="33">
        <v>99.8</v>
      </c>
      <c r="X30" s="33">
        <v>95.4</v>
      </c>
      <c r="Y30" s="33">
        <v>101.3</v>
      </c>
      <c r="Z30" s="41">
        <v>107.35887096774194</v>
      </c>
      <c r="AA30" s="197">
        <v>105.9</v>
      </c>
      <c r="AB30" s="33">
        <v>100.3</v>
      </c>
      <c r="AC30" s="33">
        <v>108.5</v>
      </c>
      <c r="AD30" s="33">
        <v>101.3</v>
      </c>
      <c r="AE30" s="33">
        <v>92.2</v>
      </c>
      <c r="AF30" s="33">
        <v>103.1</v>
      </c>
      <c r="AG30" s="33">
        <v>101.8</v>
      </c>
      <c r="AH30" s="33">
        <v>97</v>
      </c>
      <c r="AI30" s="33">
        <v>107.7</v>
      </c>
      <c r="AJ30" s="33">
        <v>109.9</v>
      </c>
      <c r="AK30" s="33">
        <v>109.9</v>
      </c>
      <c r="AL30" s="33">
        <v>96.9</v>
      </c>
      <c r="AM30" s="33">
        <v>107.6</v>
      </c>
      <c r="AN30" s="33">
        <v>106.93</v>
      </c>
      <c r="AO30" s="33">
        <v>109.2</v>
      </c>
      <c r="AP30" s="33">
        <v>97.8</v>
      </c>
    </row>
    <row r="31" spans="1:42" x14ac:dyDescent="0.25">
      <c r="A31" s="40">
        <f t="shared" si="0"/>
        <v>43770</v>
      </c>
      <c r="B31" s="33">
        <v>105.1</v>
      </c>
      <c r="C31" s="33">
        <v>123.7</v>
      </c>
      <c r="D31" s="33">
        <v>120</v>
      </c>
      <c r="E31" s="41">
        <v>127.28051984263115</v>
      </c>
      <c r="F31" s="33">
        <v>124.82</v>
      </c>
      <c r="G31" s="33">
        <v>103.3</v>
      </c>
      <c r="H31" s="33">
        <v>110.1</v>
      </c>
      <c r="I31" s="33">
        <v>118.1</v>
      </c>
      <c r="J31" s="41">
        <v>75.5</v>
      </c>
      <c r="K31" s="41">
        <v>89.888400405816711</v>
      </c>
      <c r="L31" s="33">
        <v>99.9</v>
      </c>
      <c r="M31" s="33">
        <v>107.8</v>
      </c>
      <c r="N31" s="33">
        <v>104.5</v>
      </c>
      <c r="O31" s="33">
        <v>111.3</v>
      </c>
      <c r="P31" s="33">
        <v>101</v>
      </c>
      <c r="Q31" s="33">
        <v>98.8</v>
      </c>
      <c r="R31" s="33">
        <v>101.7</v>
      </c>
      <c r="S31" s="197">
        <v>110.4</v>
      </c>
      <c r="T31" s="33">
        <v>109.4</v>
      </c>
      <c r="U31" s="33">
        <v>131.69999999999999</v>
      </c>
      <c r="V31" s="33">
        <v>101.3</v>
      </c>
      <c r="W31" s="33">
        <v>98.4</v>
      </c>
      <c r="X31" s="33">
        <v>94.5</v>
      </c>
      <c r="Y31" s="33">
        <v>101.2</v>
      </c>
      <c r="Z31" s="41">
        <v>107.35887096774194</v>
      </c>
      <c r="AA31" s="197">
        <v>105.8</v>
      </c>
      <c r="AB31" s="33">
        <v>97.8</v>
      </c>
      <c r="AC31" s="33">
        <v>109.2</v>
      </c>
      <c r="AD31" s="33">
        <v>101.6</v>
      </c>
      <c r="AE31" s="33">
        <v>94.6</v>
      </c>
      <c r="AF31" s="33">
        <v>103.2</v>
      </c>
      <c r="AG31" s="33">
        <v>101.8</v>
      </c>
      <c r="AH31" s="33">
        <v>96.3</v>
      </c>
      <c r="AI31" s="33">
        <v>107.6</v>
      </c>
      <c r="AJ31" s="33">
        <v>109</v>
      </c>
      <c r="AK31" s="33">
        <v>108.5</v>
      </c>
      <c r="AL31" s="33">
        <v>93.9</v>
      </c>
      <c r="AM31" s="33">
        <v>107.4</v>
      </c>
      <c r="AN31" s="33">
        <v>106.27</v>
      </c>
      <c r="AO31" s="33">
        <v>109.2</v>
      </c>
      <c r="AP31" s="33">
        <v>98.1</v>
      </c>
    </row>
    <row r="32" spans="1:42" x14ac:dyDescent="0.25">
      <c r="A32" s="40">
        <f t="shared" si="0"/>
        <v>43800</v>
      </c>
      <c r="B32" s="33">
        <v>104.6</v>
      </c>
      <c r="C32" s="33">
        <v>123.9</v>
      </c>
      <c r="D32" s="33">
        <v>120.1</v>
      </c>
      <c r="E32" s="41">
        <v>125.63951394619112</v>
      </c>
      <c r="F32" s="33">
        <v>126.67</v>
      </c>
      <c r="G32" s="33">
        <v>104</v>
      </c>
      <c r="H32" s="33">
        <v>110.5</v>
      </c>
      <c r="I32" s="33">
        <v>125</v>
      </c>
      <c r="J32" s="41">
        <v>74.2</v>
      </c>
      <c r="K32" s="41">
        <v>86.608048698004751</v>
      </c>
      <c r="L32" s="33">
        <v>101.2</v>
      </c>
      <c r="M32" s="33">
        <v>107.8</v>
      </c>
      <c r="N32" s="33">
        <v>104.8</v>
      </c>
      <c r="O32" s="33">
        <v>111.2</v>
      </c>
      <c r="P32" s="33">
        <v>100.7</v>
      </c>
      <c r="Q32" s="33">
        <v>98.4</v>
      </c>
      <c r="R32" s="33">
        <v>101.8</v>
      </c>
      <c r="S32" s="197">
        <v>111.3</v>
      </c>
      <c r="T32" s="33">
        <v>108.4</v>
      </c>
      <c r="U32" s="33">
        <v>126.8</v>
      </c>
      <c r="V32" s="33">
        <v>101.5</v>
      </c>
      <c r="W32" s="33">
        <v>98</v>
      </c>
      <c r="X32" s="33">
        <v>95.2</v>
      </c>
      <c r="Y32" s="33">
        <v>100.2</v>
      </c>
      <c r="Z32" s="41">
        <v>105.64516129032258</v>
      </c>
      <c r="AA32" s="197">
        <v>105.6</v>
      </c>
      <c r="AB32" s="33">
        <v>97.3</v>
      </c>
      <c r="AC32" s="33">
        <v>107.8</v>
      </c>
      <c r="AD32" s="33">
        <v>101.5</v>
      </c>
      <c r="AE32" s="33">
        <v>95.5</v>
      </c>
      <c r="AF32" s="33">
        <v>103.1</v>
      </c>
      <c r="AG32" s="33">
        <v>101.6</v>
      </c>
      <c r="AH32" s="33">
        <v>96.2</v>
      </c>
      <c r="AI32" s="33">
        <v>107.2</v>
      </c>
      <c r="AJ32" s="33">
        <v>108.1</v>
      </c>
      <c r="AK32" s="33">
        <v>107.1</v>
      </c>
      <c r="AL32" s="33">
        <v>92</v>
      </c>
      <c r="AM32" s="33">
        <v>108.5</v>
      </c>
      <c r="AN32" s="33">
        <v>106.62</v>
      </c>
      <c r="AO32" s="33">
        <v>108.9</v>
      </c>
      <c r="AP32" s="33">
        <v>98.4</v>
      </c>
    </row>
    <row r="33" spans="1:42" x14ac:dyDescent="0.25">
      <c r="A33" s="40">
        <f t="shared" si="0"/>
        <v>43831</v>
      </c>
      <c r="B33" s="33">
        <v>104.7</v>
      </c>
      <c r="C33" s="33">
        <v>123.7</v>
      </c>
      <c r="D33" s="33">
        <v>120.1</v>
      </c>
      <c r="E33" s="41">
        <v>128.96496013831526</v>
      </c>
      <c r="F33" s="33">
        <v>127.51</v>
      </c>
      <c r="G33" s="33">
        <v>103.4</v>
      </c>
      <c r="H33" s="33">
        <v>110.5</v>
      </c>
      <c r="I33" s="33">
        <v>129.69999999999999</v>
      </c>
      <c r="J33" s="41">
        <v>65.900000000000006</v>
      </c>
      <c r="K33" s="41">
        <v>96.41528576259725</v>
      </c>
      <c r="L33" s="33">
        <v>100.4</v>
      </c>
      <c r="M33" s="33">
        <v>107.1</v>
      </c>
      <c r="N33" s="33">
        <v>105.2</v>
      </c>
      <c r="O33" s="33">
        <v>112.6</v>
      </c>
      <c r="P33" s="33">
        <v>101.7</v>
      </c>
      <c r="Q33" s="33">
        <v>97.7</v>
      </c>
      <c r="R33" s="33">
        <v>103.4</v>
      </c>
      <c r="S33" s="197">
        <v>112.7</v>
      </c>
      <c r="T33" s="33">
        <v>110</v>
      </c>
      <c r="U33" s="33">
        <v>141.9</v>
      </c>
      <c r="V33" s="33">
        <v>101.8</v>
      </c>
      <c r="W33" s="33">
        <v>100.7</v>
      </c>
      <c r="X33" s="33">
        <v>94.2</v>
      </c>
      <c r="Y33" s="33">
        <v>101.6</v>
      </c>
      <c r="Z33" s="41">
        <v>104.33467741935483</v>
      </c>
      <c r="AA33" s="197">
        <v>106</v>
      </c>
      <c r="AB33" s="33">
        <v>96</v>
      </c>
      <c r="AC33" s="33">
        <v>106</v>
      </c>
      <c r="AD33" s="33">
        <v>102.5</v>
      </c>
      <c r="AE33" s="33">
        <v>96</v>
      </c>
      <c r="AF33" s="33">
        <v>104.2</v>
      </c>
      <c r="AG33" s="33">
        <v>103</v>
      </c>
      <c r="AH33" s="33">
        <v>96.4</v>
      </c>
      <c r="AI33" s="33">
        <v>107</v>
      </c>
      <c r="AJ33" s="33">
        <v>110.4</v>
      </c>
      <c r="AK33" s="33">
        <v>107.8</v>
      </c>
      <c r="AL33" s="33">
        <v>93.5</v>
      </c>
      <c r="AM33" s="33">
        <v>108.6</v>
      </c>
      <c r="AN33" s="33">
        <v>107.52</v>
      </c>
      <c r="AO33" s="33">
        <v>112.1</v>
      </c>
      <c r="AP33" s="33">
        <v>100.4</v>
      </c>
    </row>
    <row r="34" spans="1:42" x14ac:dyDescent="0.25">
      <c r="A34" s="40">
        <f t="shared" si="0"/>
        <v>43862</v>
      </c>
      <c r="B34" s="33">
        <v>105.5</v>
      </c>
      <c r="C34" s="33">
        <v>123.5</v>
      </c>
      <c r="D34" s="33">
        <v>120.2</v>
      </c>
      <c r="E34" s="41">
        <v>120.56288540966285</v>
      </c>
      <c r="F34" s="33">
        <v>121.26</v>
      </c>
      <c r="G34" s="33">
        <v>103.9</v>
      </c>
      <c r="H34" s="33">
        <v>110.5</v>
      </c>
      <c r="I34" s="33">
        <v>131.69999999999999</v>
      </c>
      <c r="J34" s="41">
        <v>52.2</v>
      </c>
      <c r="K34" s="41">
        <v>93.878931349340561</v>
      </c>
      <c r="L34" s="33">
        <v>100.2</v>
      </c>
      <c r="M34" s="33">
        <v>106.9</v>
      </c>
      <c r="N34" s="33">
        <v>103.7</v>
      </c>
      <c r="O34" s="33">
        <v>113.5</v>
      </c>
      <c r="P34" s="33">
        <v>102.5</v>
      </c>
      <c r="Q34" s="33">
        <v>97.1</v>
      </c>
      <c r="R34" s="33">
        <v>103</v>
      </c>
      <c r="S34" s="197">
        <v>112.4</v>
      </c>
      <c r="T34" s="33">
        <v>111</v>
      </c>
      <c r="U34" s="33">
        <v>151.30000000000001</v>
      </c>
      <c r="V34" s="33">
        <v>105.1</v>
      </c>
      <c r="W34" s="33">
        <v>100.8</v>
      </c>
      <c r="X34" s="33">
        <v>93.7</v>
      </c>
      <c r="Y34" s="33">
        <v>102.2</v>
      </c>
      <c r="Z34" s="41">
        <v>105.14112903225806</v>
      </c>
      <c r="AA34" s="197">
        <v>105.7</v>
      </c>
      <c r="AB34" s="33">
        <v>97.1</v>
      </c>
      <c r="AC34" s="33">
        <v>105.2</v>
      </c>
      <c r="AD34" s="33">
        <v>103.3</v>
      </c>
      <c r="AE34" s="33">
        <v>96.2</v>
      </c>
      <c r="AF34" s="33">
        <v>104.3</v>
      </c>
      <c r="AG34" s="33">
        <v>103.1</v>
      </c>
      <c r="AH34" s="33">
        <v>96.6</v>
      </c>
      <c r="AI34" s="33">
        <v>107.2</v>
      </c>
      <c r="AJ34" s="33">
        <v>108.9</v>
      </c>
      <c r="AK34" s="33">
        <v>105.6</v>
      </c>
      <c r="AL34" s="33">
        <v>92.4</v>
      </c>
      <c r="AM34" s="33">
        <v>108.6</v>
      </c>
      <c r="AN34" s="33">
        <v>107.05</v>
      </c>
      <c r="AO34" s="33">
        <v>112.1</v>
      </c>
      <c r="AP34" s="33">
        <v>99.5</v>
      </c>
    </row>
    <row r="35" spans="1:42" x14ac:dyDescent="0.25">
      <c r="A35" s="40">
        <f t="shared" si="0"/>
        <v>43891</v>
      </c>
      <c r="B35" s="33">
        <v>105.3</v>
      </c>
      <c r="C35" s="33">
        <v>123.3</v>
      </c>
      <c r="D35" s="33">
        <v>120.3</v>
      </c>
      <c r="E35" s="41">
        <v>103.85515320334262</v>
      </c>
      <c r="F35" s="33">
        <v>112.7</v>
      </c>
      <c r="G35" s="33">
        <v>103.2</v>
      </c>
      <c r="H35" s="33">
        <v>111.4</v>
      </c>
      <c r="I35" s="33">
        <v>129.1</v>
      </c>
      <c r="J35" s="41">
        <v>43.9</v>
      </c>
      <c r="K35" s="41">
        <v>67.568481569157939</v>
      </c>
      <c r="L35" s="33">
        <v>100.8</v>
      </c>
      <c r="M35" s="33">
        <v>107</v>
      </c>
      <c r="N35" s="33">
        <v>103.5</v>
      </c>
      <c r="O35" s="33">
        <v>112.3</v>
      </c>
      <c r="P35" s="33">
        <v>102.4</v>
      </c>
      <c r="Q35" s="33">
        <v>97.3</v>
      </c>
      <c r="R35" s="33">
        <v>104.4</v>
      </c>
      <c r="S35" s="197">
        <v>110.4</v>
      </c>
      <c r="T35" s="33">
        <v>110.5</v>
      </c>
      <c r="U35" s="33">
        <v>146.19999999999999</v>
      </c>
      <c r="V35" s="33">
        <v>104.3</v>
      </c>
      <c r="W35" s="33">
        <v>98.4</v>
      </c>
      <c r="X35" s="33">
        <v>94.6</v>
      </c>
      <c r="Y35" s="33">
        <v>102.5</v>
      </c>
      <c r="Z35" s="41">
        <v>104.63709677419355</v>
      </c>
      <c r="AA35" s="197">
        <v>105.6</v>
      </c>
      <c r="AB35" s="33">
        <v>95.9</v>
      </c>
      <c r="AC35" s="33">
        <v>106</v>
      </c>
      <c r="AD35" s="33">
        <v>103.4</v>
      </c>
      <c r="AE35" s="33">
        <v>96.1</v>
      </c>
      <c r="AF35" s="33">
        <v>103.7</v>
      </c>
      <c r="AG35" s="33">
        <v>102.3</v>
      </c>
      <c r="AH35" s="33">
        <v>96.7</v>
      </c>
      <c r="AI35" s="33">
        <v>107</v>
      </c>
      <c r="AJ35" s="33">
        <v>109.9</v>
      </c>
      <c r="AK35" s="33">
        <v>106.1</v>
      </c>
      <c r="AL35" s="33">
        <v>91.3</v>
      </c>
      <c r="AM35" s="33">
        <v>108.8</v>
      </c>
      <c r="AN35" s="33">
        <v>107.38</v>
      </c>
      <c r="AO35" s="33">
        <v>112.9</v>
      </c>
      <c r="AP35" s="33">
        <v>100</v>
      </c>
    </row>
    <row r="36" spans="1:42" x14ac:dyDescent="0.25">
      <c r="A36" s="40">
        <f t="shared" si="0"/>
        <v>43922</v>
      </c>
      <c r="B36" s="33">
        <v>105.5</v>
      </c>
      <c r="C36" s="33">
        <v>123.6</v>
      </c>
      <c r="D36" s="33">
        <v>120.8</v>
      </c>
      <c r="E36" s="41">
        <v>92.243761406204982</v>
      </c>
      <c r="F36" s="33">
        <v>105.41</v>
      </c>
      <c r="G36" s="33">
        <v>102.7</v>
      </c>
      <c r="H36" s="33">
        <v>111.4</v>
      </c>
      <c r="I36" s="33">
        <v>124.2</v>
      </c>
      <c r="J36" s="41">
        <v>38.6</v>
      </c>
      <c r="K36" s="41">
        <v>50.96381467703754</v>
      </c>
      <c r="L36" s="33">
        <v>100.7</v>
      </c>
      <c r="M36" s="33">
        <v>106.4</v>
      </c>
      <c r="N36" s="33">
        <v>102.7</v>
      </c>
      <c r="O36" s="33">
        <v>112.1</v>
      </c>
      <c r="P36" s="33">
        <v>103.8</v>
      </c>
      <c r="Q36" s="33">
        <v>98.1</v>
      </c>
      <c r="R36" s="33">
        <v>101.8</v>
      </c>
      <c r="S36" s="197">
        <v>111.5</v>
      </c>
      <c r="T36" s="33">
        <v>110.4</v>
      </c>
      <c r="U36" s="33">
        <v>113.5</v>
      </c>
      <c r="V36" s="33">
        <v>104.8</v>
      </c>
      <c r="W36" s="33">
        <v>102.2</v>
      </c>
      <c r="X36" s="33">
        <v>93.5</v>
      </c>
      <c r="Y36" s="33">
        <v>104.1</v>
      </c>
      <c r="Z36" s="41">
        <v>103.125</v>
      </c>
      <c r="AA36" s="197">
        <v>105.5</v>
      </c>
      <c r="AB36" s="33">
        <v>90.4</v>
      </c>
      <c r="AC36" s="33">
        <v>105.5</v>
      </c>
      <c r="AD36" s="33">
        <v>103.6</v>
      </c>
      <c r="AE36" s="33">
        <v>95.6</v>
      </c>
      <c r="AF36" s="33">
        <v>102.8</v>
      </c>
      <c r="AG36" s="33">
        <v>102.2</v>
      </c>
      <c r="AH36" s="33">
        <v>97.1</v>
      </c>
      <c r="AI36" s="33">
        <v>106.8</v>
      </c>
      <c r="AJ36" s="33">
        <v>111.3</v>
      </c>
      <c r="AK36" s="33">
        <v>106.2</v>
      </c>
      <c r="AL36" s="33">
        <v>91.4</v>
      </c>
      <c r="AM36" s="33">
        <v>109.2</v>
      </c>
      <c r="AN36" s="33">
        <v>106.44</v>
      </c>
      <c r="AO36" s="33">
        <v>113.3</v>
      </c>
      <c r="AP36" s="33">
        <v>99.6</v>
      </c>
    </row>
    <row r="37" spans="1:42" x14ac:dyDescent="0.25">
      <c r="A37" s="40">
        <f t="shared" si="0"/>
        <v>43952</v>
      </c>
      <c r="B37" s="33">
        <v>104.9</v>
      </c>
      <c r="C37" s="33">
        <v>123.8</v>
      </c>
      <c r="D37" s="33">
        <v>121.4</v>
      </c>
      <c r="E37" s="41">
        <v>92.932456056094523</v>
      </c>
      <c r="F37" s="33">
        <v>101.14</v>
      </c>
      <c r="G37" s="33">
        <v>103.1</v>
      </c>
      <c r="H37" s="33">
        <v>111.4</v>
      </c>
      <c r="I37" s="33">
        <v>113.8</v>
      </c>
      <c r="J37" s="41">
        <v>29.4</v>
      </c>
      <c r="K37" s="41">
        <v>55.393980385525879</v>
      </c>
      <c r="L37" s="33">
        <v>100.3</v>
      </c>
      <c r="M37" s="33">
        <v>106.5</v>
      </c>
      <c r="N37" s="33">
        <v>104.4</v>
      </c>
      <c r="O37" s="33">
        <v>111.3</v>
      </c>
      <c r="P37" s="33">
        <v>104.3</v>
      </c>
      <c r="Q37" s="33">
        <v>96</v>
      </c>
      <c r="R37" s="33">
        <v>102</v>
      </c>
      <c r="S37" s="197">
        <v>111.4</v>
      </c>
      <c r="T37" s="33">
        <v>109.1</v>
      </c>
      <c r="U37" s="33">
        <v>109.9</v>
      </c>
      <c r="V37" s="33">
        <v>104.5</v>
      </c>
      <c r="W37" s="33">
        <v>102</v>
      </c>
      <c r="X37" s="33">
        <v>94.3</v>
      </c>
      <c r="Y37" s="33">
        <v>103.5</v>
      </c>
      <c r="Z37" s="41">
        <v>103.72983870967742</v>
      </c>
      <c r="AA37" s="197">
        <v>105.8</v>
      </c>
      <c r="AB37" s="33">
        <v>84.5</v>
      </c>
      <c r="AC37" s="33">
        <v>106</v>
      </c>
      <c r="AD37" s="33">
        <v>103.9</v>
      </c>
      <c r="AE37" s="33">
        <v>95</v>
      </c>
      <c r="AF37" s="33">
        <v>102.9</v>
      </c>
      <c r="AG37" s="33">
        <v>102.4</v>
      </c>
      <c r="AH37" s="33">
        <v>96.1</v>
      </c>
      <c r="AI37" s="33">
        <v>107.1</v>
      </c>
      <c r="AJ37" s="33">
        <v>110.1</v>
      </c>
      <c r="AK37" s="33">
        <v>107.9</v>
      </c>
      <c r="AL37" s="33">
        <v>95.1</v>
      </c>
      <c r="AM37" s="33">
        <v>109.1</v>
      </c>
      <c r="AN37" s="33">
        <v>107.23</v>
      </c>
      <c r="AO37" s="33">
        <v>112.6</v>
      </c>
      <c r="AP37" s="33">
        <v>100.4</v>
      </c>
    </row>
    <row r="38" spans="1:42" x14ac:dyDescent="0.25">
      <c r="A38" s="40">
        <f t="shared" si="0"/>
        <v>43983</v>
      </c>
      <c r="B38" s="33">
        <v>103</v>
      </c>
      <c r="C38" s="33">
        <v>124</v>
      </c>
      <c r="D38" s="33">
        <v>121.9</v>
      </c>
      <c r="E38" s="41">
        <v>98.758812794160036</v>
      </c>
      <c r="F38" s="33">
        <v>104.55</v>
      </c>
      <c r="G38" s="33">
        <v>104</v>
      </c>
      <c r="H38" s="33">
        <v>107.5</v>
      </c>
      <c r="I38" s="33">
        <v>107.3</v>
      </c>
      <c r="J38" s="41">
        <v>24.6</v>
      </c>
      <c r="K38" s="41">
        <v>74.737910043963481</v>
      </c>
      <c r="L38" s="33">
        <v>99.7</v>
      </c>
      <c r="M38" s="33">
        <v>106.5</v>
      </c>
      <c r="N38" s="33">
        <v>105.4</v>
      </c>
      <c r="O38" s="33">
        <v>109.7</v>
      </c>
      <c r="P38" s="33">
        <v>103.3</v>
      </c>
      <c r="Q38" s="33">
        <v>94.2</v>
      </c>
      <c r="R38" s="33">
        <v>102.5</v>
      </c>
      <c r="S38" s="197">
        <v>110.3</v>
      </c>
      <c r="T38" s="33">
        <v>108</v>
      </c>
      <c r="U38" s="33">
        <v>120.6</v>
      </c>
      <c r="V38" s="33">
        <v>105.4</v>
      </c>
      <c r="W38" s="33">
        <v>100.9</v>
      </c>
      <c r="X38" s="33">
        <v>95.3</v>
      </c>
      <c r="Y38" s="33">
        <v>103.9</v>
      </c>
      <c r="Z38" s="41">
        <v>103.83064516129032</v>
      </c>
      <c r="AA38" s="197">
        <v>106.6</v>
      </c>
      <c r="AB38" s="33">
        <v>86.1</v>
      </c>
      <c r="AC38" s="33">
        <v>104.9</v>
      </c>
      <c r="AD38" s="33">
        <v>104</v>
      </c>
      <c r="AE38" s="33">
        <v>92.8</v>
      </c>
      <c r="AF38" s="33">
        <v>103.1</v>
      </c>
      <c r="AG38" s="33">
        <v>102.9</v>
      </c>
      <c r="AH38" s="33">
        <v>98.1</v>
      </c>
      <c r="AI38" s="33">
        <v>106.6</v>
      </c>
      <c r="AJ38" s="33">
        <v>109.4</v>
      </c>
      <c r="AK38" s="33">
        <v>106.3</v>
      </c>
      <c r="AL38" s="33">
        <v>92.9</v>
      </c>
      <c r="AM38" s="33">
        <v>109.1</v>
      </c>
      <c r="AN38" s="33">
        <v>108.12</v>
      </c>
      <c r="AO38" s="33">
        <v>112.5</v>
      </c>
      <c r="AP38" s="33">
        <v>99.5</v>
      </c>
    </row>
    <row r="39" spans="1:42" x14ac:dyDescent="0.25">
      <c r="A39" s="40">
        <f t="shared" si="0"/>
        <v>44013</v>
      </c>
      <c r="B39" s="33">
        <v>102.6</v>
      </c>
      <c r="C39" s="33">
        <v>123.8</v>
      </c>
      <c r="D39" s="33">
        <v>122.1</v>
      </c>
      <c r="E39" s="41">
        <v>100.37035827490156</v>
      </c>
      <c r="F39" s="33">
        <v>107.19</v>
      </c>
      <c r="G39" s="33">
        <v>104.6</v>
      </c>
      <c r="H39" s="33">
        <v>107.5</v>
      </c>
      <c r="I39" s="33">
        <v>106.2</v>
      </c>
      <c r="J39" s="41">
        <v>25.3</v>
      </c>
      <c r="K39" s="41">
        <v>76.962703249756942</v>
      </c>
      <c r="L39" s="33">
        <v>99.7</v>
      </c>
      <c r="M39" s="33">
        <v>106.9</v>
      </c>
      <c r="N39" s="33">
        <v>105.6</v>
      </c>
      <c r="O39" s="33">
        <v>108</v>
      </c>
      <c r="P39" s="33">
        <v>103.2</v>
      </c>
      <c r="Q39" s="33">
        <v>94.1</v>
      </c>
      <c r="R39" s="33">
        <v>102</v>
      </c>
      <c r="S39" s="197">
        <v>111.5</v>
      </c>
      <c r="T39" s="33">
        <v>106.8</v>
      </c>
      <c r="U39" s="33">
        <v>147.80000000000001</v>
      </c>
      <c r="V39" s="33">
        <v>105.7</v>
      </c>
      <c r="W39" s="33">
        <v>100.8</v>
      </c>
      <c r="X39" s="33">
        <v>93.7</v>
      </c>
      <c r="Y39" s="33">
        <v>103.9</v>
      </c>
      <c r="Z39" s="41">
        <v>103.72983870967742</v>
      </c>
      <c r="AA39" s="197">
        <v>106.6</v>
      </c>
      <c r="AB39" s="33">
        <v>89.7</v>
      </c>
      <c r="AC39" s="33">
        <v>104.9</v>
      </c>
      <c r="AD39" s="33">
        <v>103.6</v>
      </c>
      <c r="AE39" s="33">
        <v>93.5</v>
      </c>
      <c r="AF39" s="33">
        <v>103.3</v>
      </c>
      <c r="AG39" s="33">
        <v>103.5</v>
      </c>
      <c r="AH39" s="33">
        <v>98.1</v>
      </c>
      <c r="AI39" s="33">
        <v>106.4</v>
      </c>
      <c r="AJ39" s="33">
        <v>111.5</v>
      </c>
      <c r="AK39" s="33">
        <v>104.6</v>
      </c>
      <c r="AL39" s="33">
        <v>91.6</v>
      </c>
      <c r="AM39" s="33">
        <v>109.5</v>
      </c>
      <c r="AN39" s="33">
        <v>110.6</v>
      </c>
      <c r="AO39" s="33">
        <v>112.7</v>
      </c>
      <c r="AP39" s="33">
        <v>98.3</v>
      </c>
    </row>
    <row r="40" spans="1:42" x14ac:dyDescent="0.25">
      <c r="A40" s="40">
        <f t="shared" si="0"/>
        <v>44044</v>
      </c>
      <c r="B40" s="33">
        <v>102.8</v>
      </c>
      <c r="C40" s="33">
        <v>123.7</v>
      </c>
      <c r="D40" s="33">
        <v>122.4</v>
      </c>
      <c r="E40" s="41">
        <v>99.06183844011143</v>
      </c>
      <c r="F40" s="33">
        <v>106.73</v>
      </c>
      <c r="G40" s="33">
        <v>104.6</v>
      </c>
      <c r="H40" s="33">
        <v>107.5</v>
      </c>
      <c r="I40" s="33">
        <v>108.2</v>
      </c>
      <c r="J40" s="41">
        <v>29.7</v>
      </c>
      <c r="K40" s="41">
        <v>78.186081416283741</v>
      </c>
      <c r="L40" s="33">
        <v>100.8</v>
      </c>
      <c r="M40" s="33">
        <v>106.9</v>
      </c>
      <c r="N40" s="33">
        <v>105.4</v>
      </c>
      <c r="O40" s="33">
        <v>107.4</v>
      </c>
      <c r="P40" s="33">
        <v>103.1</v>
      </c>
      <c r="Q40" s="33">
        <v>95.9</v>
      </c>
      <c r="R40" s="33">
        <v>102.1</v>
      </c>
      <c r="S40" s="197">
        <v>110.7</v>
      </c>
      <c r="T40" s="33">
        <v>106.8</v>
      </c>
      <c r="U40" s="33">
        <v>146.19999999999999</v>
      </c>
      <c r="V40" s="33">
        <v>104.7</v>
      </c>
      <c r="W40" s="33">
        <v>100.6</v>
      </c>
      <c r="X40" s="33">
        <v>93.1</v>
      </c>
      <c r="Y40" s="33">
        <v>104.4</v>
      </c>
      <c r="Z40" s="41">
        <v>103.52822580645162</v>
      </c>
      <c r="AA40" s="197">
        <v>107</v>
      </c>
      <c r="AB40" s="33">
        <v>90.3</v>
      </c>
      <c r="AC40" s="33">
        <v>103.7</v>
      </c>
      <c r="AD40" s="33">
        <v>102.7</v>
      </c>
      <c r="AE40" s="33">
        <v>95.5</v>
      </c>
      <c r="AF40" s="33">
        <v>104.4</v>
      </c>
      <c r="AG40" s="33">
        <v>105.5</v>
      </c>
      <c r="AH40" s="33">
        <v>98.2</v>
      </c>
      <c r="AI40" s="33">
        <v>106</v>
      </c>
      <c r="AJ40" s="33">
        <v>111.6</v>
      </c>
      <c r="AK40" s="33">
        <v>104.4</v>
      </c>
      <c r="AL40" s="33">
        <v>88.5</v>
      </c>
      <c r="AM40" s="33">
        <v>109.4</v>
      </c>
      <c r="AN40" s="33">
        <v>113.33</v>
      </c>
      <c r="AO40" s="33">
        <v>110.5</v>
      </c>
      <c r="AP40" s="33">
        <v>97.7</v>
      </c>
    </row>
    <row r="41" spans="1:42" x14ac:dyDescent="0.25">
      <c r="A41" s="40">
        <f t="shared" si="0"/>
        <v>44075</v>
      </c>
      <c r="B41" s="33">
        <v>104.4</v>
      </c>
      <c r="C41" s="33">
        <v>123.6</v>
      </c>
      <c r="D41" s="33">
        <v>122.6</v>
      </c>
      <c r="E41" s="41">
        <v>94.034367495917806</v>
      </c>
      <c r="F41" s="33">
        <v>104.23</v>
      </c>
      <c r="G41" s="33">
        <v>103</v>
      </c>
      <c r="H41" s="33">
        <v>108.8</v>
      </c>
      <c r="I41" s="33">
        <v>108.6</v>
      </c>
      <c r="J41" s="41">
        <v>43.7</v>
      </c>
      <c r="K41" s="41">
        <v>75.797826992740568</v>
      </c>
      <c r="L41" s="33">
        <v>97.3</v>
      </c>
      <c r="M41" s="33">
        <v>106.9</v>
      </c>
      <c r="N41" s="33">
        <v>106.5</v>
      </c>
      <c r="O41" s="33">
        <v>108.5</v>
      </c>
      <c r="P41" s="33">
        <v>103.1</v>
      </c>
      <c r="Q41" s="33">
        <v>95</v>
      </c>
      <c r="R41" s="33">
        <v>101.9</v>
      </c>
      <c r="S41" s="197">
        <v>111.4</v>
      </c>
      <c r="T41" s="33">
        <v>107</v>
      </c>
      <c r="U41" s="33">
        <v>142.6</v>
      </c>
      <c r="V41" s="33">
        <v>105</v>
      </c>
      <c r="W41" s="33">
        <v>100.4</v>
      </c>
      <c r="X41" s="33">
        <v>94.4</v>
      </c>
      <c r="Y41" s="33">
        <v>103.3</v>
      </c>
      <c r="Z41" s="41">
        <v>103.62903225806451</v>
      </c>
      <c r="AA41" s="197">
        <v>106.6</v>
      </c>
      <c r="AB41" s="33">
        <v>90.4</v>
      </c>
      <c r="AC41" s="33">
        <v>104.2</v>
      </c>
      <c r="AD41" s="33">
        <v>103.2</v>
      </c>
      <c r="AE41" s="33">
        <v>95.8</v>
      </c>
      <c r="AF41" s="33">
        <v>103.9</v>
      </c>
      <c r="AG41" s="33">
        <v>104.8</v>
      </c>
      <c r="AH41" s="33">
        <v>98.4</v>
      </c>
      <c r="AI41" s="33">
        <v>105.9</v>
      </c>
      <c r="AJ41" s="33">
        <v>113</v>
      </c>
      <c r="AK41" s="33">
        <v>104.3</v>
      </c>
      <c r="AL41" s="33">
        <v>90.7</v>
      </c>
      <c r="AM41" s="33">
        <v>109.7</v>
      </c>
      <c r="AN41" s="33">
        <v>108.06</v>
      </c>
      <c r="AO41" s="33">
        <v>111.1</v>
      </c>
      <c r="AP41" s="33">
        <v>101.1</v>
      </c>
    </row>
    <row r="42" spans="1:42" x14ac:dyDescent="0.25">
      <c r="A42" s="40">
        <f t="shared" si="0"/>
        <v>44105</v>
      </c>
      <c r="B42" s="33">
        <v>104.1</v>
      </c>
      <c r="C42" s="33">
        <v>123.5</v>
      </c>
      <c r="D42" s="33">
        <v>122.9</v>
      </c>
      <c r="E42" s="41">
        <v>95.632139083661556</v>
      </c>
      <c r="F42" s="33">
        <v>103.91</v>
      </c>
      <c r="G42" s="33">
        <v>102.4</v>
      </c>
      <c r="H42" s="33">
        <v>108.8</v>
      </c>
      <c r="I42" s="33">
        <v>109.8</v>
      </c>
      <c r="J42" s="41">
        <v>60</v>
      </c>
      <c r="K42" s="41">
        <v>77.969280222215701</v>
      </c>
      <c r="L42" s="33">
        <v>97.3</v>
      </c>
      <c r="M42" s="33">
        <v>109</v>
      </c>
      <c r="N42" s="33">
        <v>105.9</v>
      </c>
      <c r="O42" s="33">
        <v>110.7</v>
      </c>
      <c r="P42" s="33">
        <v>103</v>
      </c>
      <c r="Q42" s="33">
        <v>95.4</v>
      </c>
      <c r="R42" s="33">
        <v>101.6</v>
      </c>
      <c r="S42" s="197">
        <v>110.5</v>
      </c>
      <c r="T42" s="33">
        <v>108.7</v>
      </c>
      <c r="U42" s="33">
        <v>130.5</v>
      </c>
      <c r="V42" s="33">
        <v>104.4</v>
      </c>
      <c r="W42" s="33">
        <v>100.4</v>
      </c>
      <c r="X42" s="33">
        <v>93.8</v>
      </c>
      <c r="Y42" s="33">
        <v>103.2</v>
      </c>
      <c r="Z42" s="41">
        <v>102.7217741935484</v>
      </c>
      <c r="AA42" s="197">
        <v>107.3</v>
      </c>
      <c r="AB42" s="33">
        <v>90.5</v>
      </c>
      <c r="AC42" s="33">
        <v>107</v>
      </c>
      <c r="AD42" s="33">
        <v>102.6</v>
      </c>
      <c r="AE42" s="33">
        <v>95.8</v>
      </c>
      <c r="AF42" s="33">
        <v>103.7</v>
      </c>
      <c r="AG42" s="33">
        <v>104.2</v>
      </c>
      <c r="AH42" s="33">
        <v>98.3</v>
      </c>
      <c r="AI42" s="33">
        <v>106</v>
      </c>
      <c r="AJ42" s="33">
        <v>113.3</v>
      </c>
      <c r="AK42" s="33">
        <v>105.3</v>
      </c>
      <c r="AL42" s="33">
        <v>93.6</v>
      </c>
      <c r="AM42" s="33">
        <v>109.4</v>
      </c>
      <c r="AN42" s="33">
        <v>107.21</v>
      </c>
      <c r="AO42" s="33">
        <v>110.9</v>
      </c>
      <c r="AP42" s="33">
        <v>99</v>
      </c>
    </row>
    <row r="43" spans="1:42" x14ac:dyDescent="0.25">
      <c r="A43" s="40">
        <f t="shared" si="0"/>
        <v>44136</v>
      </c>
      <c r="B43" s="33">
        <v>104.4</v>
      </c>
      <c r="C43" s="33">
        <v>123.5</v>
      </c>
      <c r="D43" s="33">
        <v>123.2</v>
      </c>
      <c r="E43" s="41">
        <v>98.634847757179941</v>
      </c>
      <c r="F43" s="33">
        <v>104.72</v>
      </c>
      <c r="G43" s="33">
        <v>102.6</v>
      </c>
      <c r="H43" s="33">
        <v>108.8</v>
      </c>
      <c r="I43" s="33">
        <v>116.4</v>
      </c>
      <c r="J43" s="41">
        <v>69.400000000000006</v>
      </c>
      <c r="K43" s="41">
        <v>80.93739180767102</v>
      </c>
      <c r="L43" s="33">
        <v>98.4</v>
      </c>
      <c r="M43" s="33">
        <v>108.9</v>
      </c>
      <c r="N43" s="33">
        <v>105.4</v>
      </c>
      <c r="O43" s="33">
        <v>112.6</v>
      </c>
      <c r="P43" s="33">
        <v>102.8</v>
      </c>
      <c r="Q43" s="33">
        <v>94.9</v>
      </c>
      <c r="R43" s="33">
        <v>102.8</v>
      </c>
      <c r="S43" s="197">
        <v>111.4</v>
      </c>
      <c r="T43" s="33">
        <v>108.9</v>
      </c>
      <c r="U43" s="33">
        <v>126.3</v>
      </c>
      <c r="V43" s="33">
        <v>103.9</v>
      </c>
      <c r="W43" s="33">
        <v>99.6</v>
      </c>
      <c r="X43" s="33">
        <v>93.6</v>
      </c>
      <c r="Y43" s="33">
        <v>102.7</v>
      </c>
      <c r="Z43" s="41">
        <v>102.92338709677419</v>
      </c>
      <c r="AA43" s="197">
        <v>107</v>
      </c>
      <c r="AB43" s="33">
        <v>93.4</v>
      </c>
      <c r="AC43" s="33">
        <v>107.1</v>
      </c>
      <c r="AD43" s="33">
        <v>102.4</v>
      </c>
      <c r="AE43" s="33">
        <v>96.4</v>
      </c>
      <c r="AF43" s="33">
        <v>103.6</v>
      </c>
      <c r="AG43" s="33">
        <v>103.8</v>
      </c>
      <c r="AH43" s="33">
        <v>98.7</v>
      </c>
      <c r="AI43" s="33">
        <v>105.8</v>
      </c>
      <c r="AJ43" s="33">
        <v>113.1</v>
      </c>
      <c r="AK43" s="33">
        <v>106.4</v>
      </c>
      <c r="AL43" s="33">
        <v>95.3</v>
      </c>
      <c r="AM43" s="33">
        <v>109.4</v>
      </c>
      <c r="AN43" s="33">
        <v>106.81</v>
      </c>
      <c r="AO43" s="33">
        <v>110.5</v>
      </c>
      <c r="AP43" s="33">
        <v>99.5</v>
      </c>
    </row>
    <row r="44" spans="1:42" x14ac:dyDescent="0.25">
      <c r="A44" s="40">
        <f t="shared" si="0"/>
        <v>44166</v>
      </c>
      <c r="B44" s="33">
        <v>104.4</v>
      </c>
      <c r="C44" s="33">
        <v>123.4</v>
      </c>
      <c r="D44" s="33">
        <v>123.4</v>
      </c>
      <c r="E44" s="41">
        <v>103.4970319854001</v>
      </c>
      <c r="F44" s="33">
        <v>108.63</v>
      </c>
      <c r="G44" s="33">
        <v>103.7</v>
      </c>
      <c r="H44" s="33">
        <v>108.8</v>
      </c>
      <c r="I44" s="33">
        <v>128</v>
      </c>
      <c r="J44" s="41">
        <v>72.2</v>
      </c>
      <c r="K44" s="41">
        <v>84.005300768173541</v>
      </c>
      <c r="L44" s="33">
        <v>98.9</v>
      </c>
      <c r="M44" s="33">
        <v>108.8</v>
      </c>
      <c r="N44" s="33">
        <v>104.7</v>
      </c>
      <c r="O44" s="33">
        <v>116.1</v>
      </c>
      <c r="P44" s="33">
        <v>101.8</v>
      </c>
      <c r="Q44" s="33">
        <v>95.8</v>
      </c>
      <c r="R44" s="33">
        <v>103.2</v>
      </c>
      <c r="S44" s="197">
        <v>114.9</v>
      </c>
      <c r="T44" s="33">
        <v>110.8</v>
      </c>
      <c r="U44" s="33">
        <v>128.5</v>
      </c>
      <c r="V44" s="33">
        <v>106.6</v>
      </c>
      <c r="W44" s="33">
        <v>96.4</v>
      </c>
      <c r="X44" s="33">
        <v>93.7</v>
      </c>
      <c r="Y44" s="33">
        <v>102.4</v>
      </c>
      <c r="Z44" s="41">
        <v>103.83064516129032</v>
      </c>
      <c r="AA44" s="197">
        <v>107.3</v>
      </c>
      <c r="AB44" s="33">
        <v>97.2</v>
      </c>
      <c r="AC44" s="33">
        <v>107.3</v>
      </c>
      <c r="AD44" s="33">
        <v>102.9</v>
      </c>
      <c r="AE44" s="33">
        <v>97.5</v>
      </c>
      <c r="AF44" s="33">
        <v>103.8</v>
      </c>
      <c r="AG44" s="33">
        <v>104</v>
      </c>
      <c r="AH44" s="33">
        <v>98.5</v>
      </c>
      <c r="AI44" s="33">
        <v>105.8</v>
      </c>
      <c r="AJ44" s="33">
        <v>108.9</v>
      </c>
      <c r="AK44" s="33">
        <v>106.9</v>
      </c>
      <c r="AL44" s="33">
        <v>96.3</v>
      </c>
      <c r="AM44" s="33">
        <v>110</v>
      </c>
      <c r="AN44" s="33">
        <v>106.73</v>
      </c>
      <c r="AO44" s="33">
        <v>110.6</v>
      </c>
      <c r="AP44" s="33">
        <v>103.5</v>
      </c>
    </row>
    <row r="45" spans="1:42" x14ac:dyDescent="0.25">
      <c r="A45" s="40">
        <f t="shared" si="0"/>
        <v>44197</v>
      </c>
      <c r="B45" s="33">
        <v>104.5</v>
      </c>
      <c r="C45" s="33">
        <v>123.4</v>
      </c>
      <c r="D45" s="33">
        <v>123.6</v>
      </c>
      <c r="E45" s="41">
        <v>110.08095283834412</v>
      </c>
      <c r="F45" s="33">
        <v>111.52</v>
      </c>
      <c r="G45" s="33">
        <v>103.3</v>
      </c>
      <c r="H45" s="33">
        <v>108.8</v>
      </c>
      <c r="I45" s="33">
        <v>133.30000000000001</v>
      </c>
      <c r="J45" s="41">
        <v>87.5</v>
      </c>
      <c r="K45" s="41">
        <v>87.475840517659549</v>
      </c>
      <c r="L45" s="33">
        <v>98.9</v>
      </c>
      <c r="M45" s="33">
        <v>114.6</v>
      </c>
      <c r="N45" s="33">
        <v>105.8</v>
      </c>
      <c r="O45" s="33">
        <v>130.80000000000001</v>
      </c>
      <c r="P45" s="33">
        <v>104.3</v>
      </c>
      <c r="Q45" s="33">
        <v>96.9</v>
      </c>
      <c r="R45" s="33">
        <v>105.7</v>
      </c>
      <c r="S45" s="197">
        <v>114.4</v>
      </c>
      <c r="T45" s="33">
        <v>123</v>
      </c>
      <c r="U45" s="33">
        <v>135.69999999999999</v>
      </c>
      <c r="V45" s="33">
        <v>107.4</v>
      </c>
      <c r="W45" s="33">
        <v>101.6</v>
      </c>
      <c r="X45" s="33">
        <v>94.4</v>
      </c>
      <c r="Y45" s="33">
        <v>102</v>
      </c>
      <c r="Z45" s="41">
        <v>104.33467741935483</v>
      </c>
      <c r="AA45" s="197">
        <v>107</v>
      </c>
      <c r="AB45" s="33">
        <v>101.4</v>
      </c>
      <c r="AC45" s="33">
        <v>108.3</v>
      </c>
      <c r="AD45" s="33">
        <v>103.6</v>
      </c>
      <c r="AE45" s="33">
        <v>99.2</v>
      </c>
      <c r="AF45" s="33">
        <v>104.5</v>
      </c>
      <c r="AG45" s="33">
        <v>105.3</v>
      </c>
      <c r="AH45" s="33">
        <v>98.5</v>
      </c>
      <c r="AI45" s="33">
        <v>105.1</v>
      </c>
      <c r="AJ45" s="33">
        <v>111.4</v>
      </c>
      <c r="AK45" s="33">
        <v>114.6</v>
      </c>
      <c r="AL45" s="33">
        <v>106.2</v>
      </c>
      <c r="AM45" s="33">
        <v>110.7</v>
      </c>
      <c r="AN45" s="33">
        <v>107.3</v>
      </c>
      <c r="AO45" s="33">
        <v>117.1</v>
      </c>
      <c r="AP45" s="33">
        <v>111.7</v>
      </c>
    </row>
    <row r="46" spans="1:42" x14ac:dyDescent="0.25">
      <c r="A46" s="40">
        <f t="shared" si="0"/>
        <v>44228</v>
      </c>
      <c r="B46" s="33">
        <v>104.5</v>
      </c>
      <c r="C46" s="33">
        <v>123.3</v>
      </c>
      <c r="D46" s="33">
        <v>123.7</v>
      </c>
      <c r="E46" s="41">
        <v>117.68414177312464</v>
      </c>
      <c r="F46" s="33">
        <v>115.5</v>
      </c>
      <c r="G46" s="33">
        <v>103.6</v>
      </c>
      <c r="H46" s="33">
        <v>108.8</v>
      </c>
      <c r="I46" s="33">
        <v>137.69999999999999</v>
      </c>
      <c r="J46" s="41">
        <v>96.1</v>
      </c>
      <c r="K46" s="41">
        <v>96.424912028356985</v>
      </c>
      <c r="L46" s="33">
        <v>100.5</v>
      </c>
      <c r="M46" s="33">
        <v>114.7</v>
      </c>
      <c r="N46" s="33">
        <v>105.9</v>
      </c>
      <c r="O46" s="33">
        <v>139.19999999999999</v>
      </c>
      <c r="P46" s="33">
        <v>104</v>
      </c>
      <c r="Q46" s="33">
        <v>98.4</v>
      </c>
      <c r="R46" s="33">
        <v>105.7</v>
      </c>
      <c r="S46" s="197">
        <v>117.3</v>
      </c>
      <c r="T46" s="33">
        <v>133.69999999999999</v>
      </c>
      <c r="U46" s="33">
        <v>142.80000000000001</v>
      </c>
      <c r="V46" s="33">
        <v>106.9</v>
      </c>
      <c r="W46" s="33">
        <v>101.2</v>
      </c>
      <c r="X46" s="33">
        <v>95.3</v>
      </c>
      <c r="Y46" s="33">
        <v>102.7</v>
      </c>
      <c r="Z46" s="41">
        <v>106.55241935483872</v>
      </c>
      <c r="AA46" s="197">
        <v>106.9</v>
      </c>
      <c r="AB46" s="33">
        <v>107.2</v>
      </c>
      <c r="AC46" s="33">
        <v>110.8</v>
      </c>
      <c r="AD46" s="33">
        <v>103.8</v>
      </c>
      <c r="AE46" s="33">
        <v>101</v>
      </c>
      <c r="AF46" s="33">
        <v>104.8</v>
      </c>
      <c r="AG46" s="33">
        <v>105.5</v>
      </c>
      <c r="AH46" s="33">
        <v>98.3</v>
      </c>
      <c r="AI46" s="33">
        <v>105.3</v>
      </c>
      <c r="AJ46" s="33">
        <v>108.6</v>
      </c>
      <c r="AK46" s="33">
        <v>123.1</v>
      </c>
      <c r="AL46" s="33">
        <v>113.7</v>
      </c>
      <c r="AM46" s="33">
        <v>111.3</v>
      </c>
      <c r="AN46" s="33">
        <v>107.01</v>
      </c>
      <c r="AO46" s="33">
        <v>117.5</v>
      </c>
      <c r="AP46" s="33">
        <v>111.9</v>
      </c>
    </row>
    <row r="47" spans="1:42" x14ac:dyDescent="0.25">
      <c r="A47" s="40">
        <f t="shared" si="0"/>
        <v>44256</v>
      </c>
      <c r="B47" s="33">
        <v>107.6</v>
      </c>
      <c r="C47" s="33">
        <v>123.3</v>
      </c>
      <c r="D47" s="33">
        <v>123.9</v>
      </c>
      <c r="E47" s="41">
        <v>120.96232830659883</v>
      </c>
      <c r="F47" s="33">
        <v>118.85</v>
      </c>
      <c r="G47" s="33">
        <v>103.4</v>
      </c>
      <c r="H47" s="33">
        <v>109.5</v>
      </c>
      <c r="I47" s="33">
        <v>136.1</v>
      </c>
      <c r="J47" s="41">
        <v>86.2</v>
      </c>
      <c r="K47" s="41">
        <v>99.707901538530166</v>
      </c>
      <c r="L47" s="33">
        <v>101.2</v>
      </c>
      <c r="M47" s="33">
        <v>114.7</v>
      </c>
      <c r="N47" s="33">
        <v>106.2</v>
      </c>
      <c r="O47" s="33">
        <v>144.6</v>
      </c>
      <c r="P47" s="33">
        <v>104.8</v>
      </c>
      <c r="Q47" s="33">
        <v>101.6</v>
      </c>
      <c r="R47" s="33">
        <v>104.5</v>
      </c>
      <c r="S47" s="197">
        <v>118.6</v>
      </c>
      <c r="T47" s="33">
        <v>140.6</v>
      </c>
      <c r="U47" s="33">
        <v>152.1</v>
      </c>
      <c r="V47" s="33">
        <v>109</v>
      </c>
      <c r="W47" s="33">
        <v>101.2</v>
      </c>
      <c r="X47" s="33">
        <v>94.4</v>
      </c>
      <c r="Y47" s="33">
        <v>103.6</v>
      </c>
      <c r="Z47" s="41">
        <v>107.15725806451613</v>
      </c>
      <c r="AA47" s="197">
        <v>107.2</v>
      </c>
      <c r="AB47" s="33">
        <v>120.4</v>
      </c>
      <c r="AC47" s="33">
        <v>110.8</v>
      </c>
      <c r="AD47" s="33">
        <v>105.2</v>
      </c>
      <c r="AE47" s="33">
        <v>104.2</v>
      </c>
      <c r="AF47" s="33">
        <v>104.7</v>
      </c>
      <c r="AG47" s="33">
        <v>105.3</v>
      </c>
      <c r="AH47" s="33">
        <v>97.9</v>
      </c>
      <c r="AI47" s="33">
        <v>105.1</v>
      </c>
      <c r="AJ47" s="33">
        <v>108.6</v>
      </c>
      <c r="AK47" s="33">
        <v>123.6</v>
      </c>
      <c r="AL47" s="33">
        <v>116.9</v>
      </c>
      <c r="AM47" s="33">
        <v>110.6</v>
      </c>
      <c r="AN47" s="33">
        <v>107.86</v>
      </c>
      <c r="AO47" s="33">
        <v>117.6</v>
      </c>
      <c r="AP47" s="33">
        <v>117.1</v>
      </c>
    </row>
    <row r="48" spans="1:42" x14ac:dyDescent="0.25">
      <c r="A48" s="40">
        <f t="shared" si="0"/>
        <v>44287</v>
      </c>
      <c r="B48" s="33">
        <v>107.8</v>
      </c>
      <c r="C48" s="33">
        <v>123</v>
      </c>
      <c r="D48" s="33">
        <v>123.6</v>
      </c>
      <c r="E48" s="41">
        <v>117.44998559216218</v>
      </c>
      <c r="F48" s="33">
        <v>117.92</v>
      </c>
      <c r="G48" s="33">
        <v>103.5</v>
      </c>
      <c r="H48" s="33">
        <v>109.5</v>
      </c>
      <c r="I48" s="33">
        <v>130.69999999999999</v>
      </c>
      <c r="J48" s="41">
        <v>91.3</v>
      </c>
      <c r="K48" s="41">
        <v>97.252541983489749</v>
      </c>
      <c r="L48" s="33">
        <v>104.9</v>
      </c>
      <c r="M48" s="33">
        <v>122.9</v>
      </c>
      <c r="N48" s="33">
        <v>106.4</v>
      </c>
      <c r="O48" s="33">
        <v>149.4</v>
      </c>
      <c r="P48" s="33">
        <v>104.2</v>
      </c>
      <c r="Q48" s="33">
        <v>108.1</v>
      </c>
      <c r="R48" s="33">
        <v>103.6</v>
      </c>
      <c r="S48" s="197">
        <v>119.5</v>
      </c>
      <c r="T48" s="33">
        <v>145.80000000000001</v>
      </c>
      <c r="U48" s="33">
        <v>157.80000000000001</v>
      </c>
      <c r="V48" s="33">
        <v>109.7</v>
      </c>
      <c r="W48" s="33">
        <v>101.6</v>
      </c>
      <c r="X48" s="33">
        <v>97.5</v>
      </c>
      <c r="Y48" s="33">
        <v>103.4</v>
      </c>
      <c r="Z48" s="41">
        <v>107.35887096774194</v>
      </c>
      <c r="AA48" s="197">
        <v>108.4</v>
      </c>
      <c r="AB48" s="33">
        <v>134.69999999999999</v>
      </c>
      <c r="AC48" s="33">
        <v>112.9</v>
      </c>
      <c r="AD48" s="33">
        <v>104.7</v>
      </c>
      <c r="AE48" s="33">
        <v>108.4</v>
      </c>
      <c r="AF48" s="33">
        <v>104.8</v>
      </c>
      <c r="AG48" s="33">
        <v>105.3</v>
      </c>
      <c r="AH48" s="33">
        <v>95.6</v>
      </c>
      <c r="AI48" s="33">
        <v>105.5</v>
      </c>
      <c r="AJ48" s="33">
        <v>109.3</v>
      </c>
      <c r="AK48" s="33">
        <v>126.1</v>
      </c>
      <c r="AL48" s="33">
        <v>133.30000000000001</v>
      </c>
      <c r="AM48" s="33">
        <v>112.6</v>
      </c>
      <c r="AN48" s="33">
        <v>107.33</v>
      </c>
      <c r="AO48" s="33">
        <v>117.8</v>
      </c>
      <c r="AP48" s="33">
        <v>117.6</v>
      </c>
    </row>
    <row r="49" spans="1:69" x14ac:dyDescent="0.25">
      <c r="A49" s="40">
        <f t="shared" si="0"/>
        <v>44317</v>
      </c>
      <c r="B49" s="33">
        <v>107.2</v>
      </c>
      <c r="C49" s="33">
        <v>122.7</v>
      </c>
      <c r="D49" s="33">
        <v>123.3</v>
      </c>
      <c r="E49" s="41">
        <v>121.36177120353477</v>
      </c>
      <c r="F49" s="33">
        <v>119.24</v>
      </c>
      <c r="G49" s="33">
        <v>104.4</v>
      </c>
      <c r="H49" s="33">
        <v>109.5</v>
      </c>
      <c r="I49" s="33">
        <v>119.4</v>
      </c>
      <c r="J49" s="41">
        <v>107.7</v>
      </c>
      <c r="K49" s="41">
        <v>96.963473724732353</v>
      </c>
      <c r="L49" s="33">
        <v>107.6</v>
      </c>
      <c r="M49" s="33">
        <v>123.5</v>
      </c>
      <c r="N49" s="33">
        <v>106</v>
      </c>
      <c r="O49" s="33">
        <v>153.5</v>
      </c>
      <c r="P49" s="33">
        <v>104.1</v>
      </c>
      <c r="Q49" s="33">
        <v>111.7</v>
      </c>
      <c r="R49" s="33">
        <v>103.4</v>
      </c>
      <c r="S49" s="197">
        <v>120.9</v>
      </c>
      <c r="T49" s="33">
        <v>147.9</v>
      </c>
      <c r="U49" s="33">
        <v>156.1</v>
      </c>
      <c r="V49" s="33">
        <v>108.6</v>
      </c>
      <c r="W49" s="33">
        <v>101.3</v>
      </c>
      <c r="X49" s="33">
        <v>98.2</v>
      </c>
      <c r="Y49" s="33">
        <v>105.2</v>
      </c>
      <c r="Z49" s="41">
        <v>109.97983870967741</v>
      </c>
      <c r="AA49" s="197">
        <v>108.1</v>
      </c>
      <c r="AB49" s="33">
        <v>139.30000000000001</v>
      </c>
      <c r="AC49" s="33">
        <v>113.4</v>
      </c>
      <c r="AD49" s="33">
        <v>105.1</v>
      </c>
      <c r="AE49" s="33">
        <v>111.4</v>
      </c>
      <c r="AF49" s="33">
        <v>104.5</v>
      </c>
      <c r="AG49" s="33">
        <v>105.3</v>
      </c>
      <c r="AH49" s="33">
        <v>97.5</v>
      </c>
      <c r="AI49" s="33">
        <v>103.3</v>
      </c>
      <c r="AJ49" s="33">
        <v>111.3</v>
      </c>
      <c r="AK49" s="33">
        <v>127.8</v>
      </c>
      <c r="AL49" s="33">
        <v>137.6</v>
      </c>
      <c r="AM49" s="33">
        <v>113.4</v>
      </c>
      <c r="AN49" s="33">
        <v>107.21</v>
      </c>
      <c r="AO49" s="33">
        <v>117.9</v>
      </c>
      <c r="AP49" s="33">
        <v>119.1</v>
      </c>
    </row>
    <row r="50" spans="1:69" x14ac:dyDescent="0.25">
      <c r="A50" s="40">
        <f t="shared" si="0"/>
        <v>44348</v>
      </c>
      <c r="B50" s="33">
        <v>107.8</v>
      </c>
      <c r="C50" s="33">
        <v>122.5</v>
      </c>
      <c r="D50" s="33">
        <v>123</v>
      </c>
      <c r="E50" s="41">
        <v>124.19919316107966</v>
      </c>
      <c r="F50" s="33">
        <v>121.32</v>
      </c>
      <c r="G50" s="33">
        <v>105</v>
      </c>
      <c r="H50" s="33">
        <v>110.6</v>
      </c>
      <c r="I50" s="33">
        <v>111</v>
      </c>
      <c r="J50" s="41">
        <v>129.69999999999999</v>
      </c>
      <c r="K50" s="41">
        <v>100.23097743532924</v>
      </c>
      <c r="L50" s="33">
        <v>115.2</v>
      </c>
      <c r="M50" s="33">
        <v>123.9</v>
      </c>
      <c r="N50" s="33">
        <v>105.6</v>
      </c>
      <c r="O50" s="33">
        <v>167.7</v>
      </c>
      <c r="P50" s="33">
        <v>104.1</v>
      </c>
      <c r="Q50" s="33">
        <v>116.7</v>
      </c>
      <c r="R50" s="33">
        <v>103.9</v>
      </c>
      <c r="S50" s="197">
        <v>122.5</v>
      </c>
      <c r="T50" s="33">
        <v>161.4</v>
      </c>
      <c r="U50" s="33">
        <v>156.6</v>
      </c>
      <c r="V50" s="33">
        <v>106.8</v>
      </c>
      <c r="W50" s="33">
        <v>101.1</v>
      </c>
      <c r="X50" s="33">
        <v>99.3</v>
      </c>
      <c r="Y50" s="33">
        <v>104.4</v>
      </c>
      <c r="Z50" s="41">
        <v>110.98790322580645</v>
      </c>
      <c r="AA50" s="197">
        <v>109.3</v>
      </c>
      <c r="AB50" s="33">
        <v>137.19999999999999</v>
      </c>
      <c r="AC50" s="33">
        <v>114.2</v>
      </c>
      <c r="AD50" s="33">
        <v>104.8</v>
      </c>
      <c r="AE50" s="33">
        <v>116.4</v>
      </c>
      <c r="AF50" s="33">
        <v>104.7</v>
      </c>
      <c r="AG50" s="33">
        <v>105.5</v>
      </c>
      <c r="AH50" s="33">
        <v>96.8</v>
      </c>
      <c r="AI50" s="33">
        <v>102.4</v>
      </c>
      <c r="AJ50" s="33">
        <v>113.3</v>
      </c>
      <c r="AK50" s="33">
        <v>136.9</v>
      </c>
      <c r="AL50" s="33">
        <v>144.6</v>
      </c>
      <c r="AM50" s="33">
        <v>115.2</v>
      </c>
      <c r="AN50" s="33">
        <v>108.37</v>
      </c>
      <c r="AO50" s="33">
        <v>118.1</v>
      </c>
      <c r="AP50" s="33">
        <v>122.4</v>
      </c>
    </row>
    <row r="51" spans="1:69" x14ac:dyDescent="0.25">
      <c r="A51" s="40">
        <f t="shared" si="0"/>
        <v>44378</v>
      </c>
      <c r="B51" s="33">
        <v>108.3</v>
      </c>
      <c r="C51" s="33">
        <f>C50</f>
        <v>122.5</v>
      </c>
      <c r="D51" s="33">
        <v>123.1</v>
      </c>
      <c r="E51" s="41">
        <v>126.7198155796754</v>
      </c>
      <c r="F51" s="33">
        <v>123.71</v>
      </c>
      <c r="G51" s="33">
        <v>106.6</v>
      </c>
      <c r="H51" s="33">
        <v>110.6</v>
      </c>
      <c r="I51" s="33">
        <v>111.9</v>
      </c>
      <c r="J51" s="41">
        <v>153.9</v>
      </c>
      <c r="K51" s="41">
        <v>104.68228449131354</v>
      </c>
      <c r="L51" s="33">
        <v>120.6</v>
      </c>
      <c r="M51" s="33">
        <v>136.6</v>
      </c>
      <c r="N51" s="33">
        <v>106.7</v>
      </c>
      <c r="O51" s="33">
        <v>185.7</v>
      </c>
      <c r="P51" s="33">
        <v>104.1</v>
      </c>
      <c r="Q51" s="33">
        <v>118.8</v>
      </c>
      <c r="R51" s="33">
        <v>104.1</v>
      </c>
      <c r="S51" s="197">
        <v>124.3</v>
      </c>
      <c r="T51" s="33">
        <v>179.7</v>
      </c>
      <c r="U51" s="33">
        <v>165.2</v>
      </c>
      <c r="V51" s="33">
        <v>109</v>
      </c>
      <c r="W51" s="33">
        <v>101.8</v>
      </c>
      <c r="X51" s="33">
        <v>100.8</v>
      </c>
      <c r="Y51" s="33">
        <v>104.4</v>
      </c>
      <c r="Z51" s="41">
        <v>112.29838709677421</v>
      </c>
      <c r="AA51" s="197">
        <v>109.5</v>
      </c>
      <c r="AB51" s="33">
        <v>137.80000000000001</v>
      </c>
      <c r="AC51" s="33">
        <v>115.3</v>
      </c>
      <c r="AD51" s="33">
        <v>104.9</v>
      </c>
      <c r="AE51" s="33">
        <v>120.2</v>
      </c>
      <c r="AF51" s="33">
        <v>105.6</v>
      </c>
      <c r="AG51" s="33">
        <v>106.3</v>
      </c>
      <c r="AH51" s="33">
        <v>97.2</v>
      </c>
      <c r="AI51" s="33">
        <v>101.9</v>
      </c>
      <c r="AJ51" s="33">
        <v>114.1</v>
      </c>
      <c r="AK51" s="33">
        <v>143.6</v>
      </c>
      <c r="AL51" s="33">
        <v>168.9</v>
      </c>
      <c r="AM51" s="33">
        <v>117.8</v>
      </c>
      <c r="AN51" s="33">
        <v>110.94</v>
      </c>
      <c r="AO51" s="33">
        <v>118.1</v>
      </c>
      <c r="AP51" s="33">
        <v>123.2</v>
      </c>
    </row>
    <row r="52" spans="1:69" x14ac:dyDescent="0.25">
      <c r="A52" s="40">
        <f t="shared" si="0"/>
        <v>44409</v>
      </c>
      <c r="B52" s="33">
        <v>108.2</v>
      </c>
      <c r="C52" s="33">
        <v>122.6</v>
      </c>
      <c r="D52" s="33">
        <v>123.1</v>
      </c>
      <c r="E52" s="41">
        <v>125.14959177792723</v>
      </c>
      <c r="F52" s="33">
        <v>122.96</v>
      </c>
      <c r="G52" s="33">
        <v>106.7</v>
      </c>
      <c r="H52" s="33">
        <v>110.6</v>
      </c>
      <c r="I52" s="33">
        <v>111.4</v>
      </c>
      <c r="J52" s="41">
        <v>190.4</v>
      </c>
      <c r="K52" s="41">
        <v>103.58316482349619</v>
      </c>
      <c r="L52" s="33">
        <v>122.3</v>
      </c>
      <c r="M52" s="33">
        <v>136.80000000000001</v>
      </c>
      <c r="N52" s="33">
        <v>108.3</v>
      </c>
      <c r="O52" s="33">
        <v>191.7</v>
      </c>
      <c r="P52" s="33">
        <v>104.9</v>
      </c>
      <c r="Q52" s="33">
        <v>121.1</v>
      </c>
      <c r="R52" s="33">
        <v>105.1</v>
      </c>
      <c r="S52" s="197">
        <v>129.69999999999999</v>
      </c>
      <c r="T52" s="33">
        <v>185.8</v>
      </c>
      <c r="U52" s="33">
        <v>167.9</v>
      </c>
      <c r="V52" s="33">
        <v>109.5</v>
      </c>
      <c r="W52" s="33">
        <v>101</v>
      </c>
      <c r="X52" s="33">
        <v>101.4</v>
      </c>
      <c r="Y52" s="33">
        <v>105.5</v>
      </c>
      <c r="Z52" s="41">
        <v>111.69354838709677</v>
      </c>
      <c r="AA52" s="33">
        <v>110.1</v>
      </c>
      <c r="AB52" s="33">
        <v>136.4</v>
      </c>
      <c r="AC52" s="33">
        <v>114.2</v>
      </c>
      <c r="AD52" s="33">
        <v>105.1</v>
      </c>
      <c r="AE52" s="33">
        <v>122.4</v>
      </c>
      <c r="AF52" s="33">
        <v>106.1</v>
      </c>
      <c r="AG52" s="33">
        <v>107</v>
      </c>
      <c r="AH52" s="33">
        <v>95.2</v>
      </c>
      <c r="AI52" s="33">
        <v>103.2</v>
      </c>
      <c r="AJ52" s="33">
        <v>120.7</v>
      </c>
      <c r="AK52" s="33">
        <v>146.9</v>
      </c>
      <c r="AL52" s="33">
        <v>171.2</v>
      </c>
      <c r="AM52" s="33">
        <v>120.1</v>
      </c>
      <c r="AN52" s="33">
        <v>113.93</v>
      </c>
      <c r="AO52" s="33">
        <v>118.3</v>
      </c>
      <c r="AP52" s="33">
        <v>124.3</v>
      </c>
    </row>
    <row r="53" spans="1:69" x14ac:dyDescent="0.25">
      <c r="A53" s="40">
        <f t="shared" si="0"/>
        <v>44440</v>
      </c>
      <c r="B53" s="33">
        <v>108.6</v>
      </c>
      <c r="C53" s="54">
        <v>122.7</v>
      </c>
      <c r="D53" s="33">
        <v>123.1</v>
      </c>
      <c r="E53" s="41">
        <v>129.77761982518496</v>
      </c>
      <c r="F53" s="33">
        <v>124.37</v>
      </c>
      <c r="G53" s="33">
        <v>105.4</v>
      </c>
      <c r="H53" s="33">
        <v>110.5</v>
      </c>
      <c r="I53" s="33">
        <v>111.5</v>
      </c>
      <c r="J53" s="41">
        <v>249.5</v>
      </c>
      <c r="K53" s="41">
        <v>105.88777057859708</v>
      </c>
      <c r="L53" s="33">
        <v>123.4</v>
      </c>
      <c r="M53" s="33">
        <v>137.30000000000001</v>
      </c>
      <c r="N53" s="33">
        <v>105.5</v>
      </c>
      <c r="O53" s="33">
        <v>196.7</v>
      </c>
      <c r="P53" s="33">
        <v>104.6</v>
      </c>
      <c r="Q53" s="33">
        <v>120.7</v>
      </c>
      <c r="R53" s="33">
        <v>106</v>
      </c>
      <c r="S53" s="197">
        <v>134.1</v>
      </c>
      <c r="T53" s="33">
        <v>195.4</v>
      </c>
      <c r="U53" s="33">
        <v>173.6</v>
      </c>
      <c r="V53" s="33">
        <v>110</v>
      </c>
      <c r="W53" s="33">
        <v>103.2</v>
      </c>
      <c r="X53" s="33">
        <v>103.6</v>
      </c>
      <c r="Y53" s="33">
        <v>105.3</v>
      </c>
      <c r="Z53" s="41">
        <v>113.20564516129032</v>
      </c>
      <c r="AA53" s="33">
        <v>110.7</v>
      </c>
      <c r="AB53" s="33">
        <v>136.80000000000001</v>
      </c>
      <c r="AC53" s="33">
        <v>117.8</v>
      </c>
      <c r="AD53" s="33">
        <v>105.9</v>
      </c>
      <c r="AE53" s="33">
        <v>124</v>
      </c>
      <c r="AF53" s="33">
        <v>106.3</v>
      </c>
      <c r="AG53" s="33">
        <v>106.8</v>
      </c>
      <c r="AH53" s="33">
        <v>96.5</v>
      </c>
      <c r="AI53" s="33">
        <v>102.4</v>
      </c>
      <c r="AJ53" s="33">
        <v>118.7</v>
      </c>
      <c r="AK53" s="33">
        <v>150</v>
      </c>
      <c r="AL53" s="33">
        <v>179.6</v>
      </c>
      <c r="AM53" s="33">
        <v>121.4</v>
      </c>
      <c r="AN53" s="33">
        <v>110.01</v>
      </c>
      <c r="AO53" s="33">
        <v>118.2</v>
      </c>
      <c r="AP53" s="33">
        <v>123.4</v>
      </c>
    </row>
    <row r="54" spans="1:69" x14ac:dyDescent="0.25">
      <c r="A54" s="40">
        <f t="shared" si="0"/>
        <v>44470</v>
      </c>
      <c r="B54" s="33">
        <v>109</v>
      </c>
      <c r="C54" s="123">
        <v>122.6</v>
      </c>
      <c r="D54" s="33">
        <f>D53</f>
        <v>123.1</v>
      </c>
      <c r="E54" s="41">
        <v>145.0804149457305</v>
      </c>
      <c r="F54" s="33">
        <v>132.38</v>
      </c>
      <c r="G54" s="33">
        <v>105.8</v>
      </c>
      <c r="H54" s="33">
        <v>110.5</v>
      </c>
      <c r="I54" s="33">
        <v>113.2</v>
      </c>
      <c r="J54" s="41">
        <v>354.2</v>
      </c>
      <c r="K54" s="41">
        <v>119.53812774342542</v>
      </c>
      <c r="L54" s="33">
        <v>123.8</v>
      </c>
      <c r="M54" s="33">
        <v>145.30000000000001</v>
      </c>
      <c r="N54" s="33">
        <v>106.4</v>
      </c>
      <c r="O54" s="33">
        <v>193</v>
      </c>
      <c r="P54" s="33">
        <v>103.5</v>
      </c>
      <c r="Q54" s="33">
        <v>121.2</v>
      </c>
      <c r="R54" s="33">
        <v>106.6</v>
      </c>
      <c r="S54" s="197">
        <v>136.80000000000001</v>
      </c>
      <c r="T54" s="33">
        <v>191.5</v>
      </c>
      <c r="U54" s="33">
        <v>175.9</v>
      </c>
      <c r="V54" s="33">
        <v>111.4</v>
      </c>
      <c r="W54" s="33">
        <v>103</v>
      </c>
      <c r="X54" s="33">
        <v>105.6</v>
      </c>
      <c r="Y54" s="33">
        <v>105.6</v>
      </c>
      <c r="Z54" s="41">
        <v>112.60080645161291</v>
      </c>
      <c r="AA54" s="33">
        <v>111.6</v>
      </c>
      <c r="AB54" s="33">
        <v>139.4</v>
      </c>
      <c r="AC54" s="33">
        <v>120.6</v>
      </c>
      <c r="AD54" s="33">
        <v>106.2</v>
      </c>
      <c r="AE54" s="33">
        <v>125</v>
      </c>
      <c r="AF54" s="33">
        <v>106.9</v>
      </c>
      <c r="AG54" s="33">
        <v>107.3</v>
      </c>
      <c r="AH54" s="33">
        <v>97</v>
      </c>
      <c r="AI54" s="33">
        <v>102.4</v>
      </c>
      <c r="AJ54" s="33">
        <v>121</v>
      </c>
      <c r="AK54" s="33">
        <v>150.69999999999999</v>
      </c>
      <c r="AL54" s="33">
        <v>186.8</v>
      </c>
      <c r="AM54" s="33">
        <v>122.2</v>
      </c>
      <c r="AN54" s="33">
        <v>109.17</v>
      </c>
      <c r="AO54" s="33">
        <v>118.3</v>
      </c>
      <c r="AP54" s="33">
        <v>115.5</v>
      </c>
    </row>
    <row r="55" spans="1:69" x14ac:dyDescent="0.25">
      <c r="A55" s="40">
        <f t="shared" si="0"/>
        <v>44501</v>
      </c>
      <c r="B55" s="33">
        <v>109.1</v>
      </c>
      <c r="C55" s="54">
        <v>122.5</v>
      </c>
      <c r="D55" s="33">
        <v>123.1</v>
      </c>
      <c r="E55" s="41">
        <v>146.98121217942563</v>
      </c>
      <c r="F55" s="33">
        <v>133.69999999999999</v>
      </c>
      <c r="G55" s="33">
        <v>106.2</v>
      </c>
      <c r="H55" s="33">
        <v>110.5</v>
      </c>
      <c r="I55" s="33">
        <v>121</v>
      </c>
      <c r="J55" s="41">
        <v>440.2</v>
      </c>
      <c r="K55" s="45">
        <f>'GAZOLE ROUTIER HTT'!C51</f>
        <v>121.63000065959393</v>
      </c>
      <c r="L55" s="33">
        <v>124.5</v>
      </c>
      <c r="M55" s="33">
        <v>145.80000000000001</v>
      </c>
      <c r="N55" s="33">
        <v>107</v>
      </c>
      <c r="O55" s="33">
        <v>193.5</v>
      </c>
      <c r="P55" s="33">
        <v>103.7</v>
      </c>
      <c r="Q55" s="33">
        <v>124</v>
      </c>
      <c r="R55" s="33">
        <v>107.1</v>
      </c>
      <c r="S55" s="197">
        <v>136.80000000000001</v>
      </c>
      <c r="T55" s="33">
        <v>192.3</v>
      </c>
      <c r="U55" s="33">
        <v>187.9</v>
      </c>
      <c r="V55" s="33">
        <v>112.5</v>
      </c>
      <c r="W55" s="33">
        <v>102.8</v>
      </c>
      <c r="X55" s="33">
        <v>107.1</v>
      </c>
      <c r="Y55" s="33">
        <v>105.6</v>
      </c>
      <c r="Z55" s="41">
        <v>113.30645161290323</v>
      </c>
      <c r="AA55" s="33">
        <v>111.6</v>
      </c>
      <c r="AB55" s="33">
        <v>146.69999999999999</v>
      </c>
      <c r="AC55" s="33">
        <v>119.6</v>
      </c>
      <c r="AD55" s="33">
        <v>106.8</v>
      </c>
      <c r="AE55" s="33">
        <v>125.2</v>
      </c>
      <c r="AF55" s="33">
        <v>107.2</v>
      </c>
      <c r="AG55" s="33">
        <v>107.7</v>
      </c>
      <c r="AH55" s="33">
        <v>97.1</v>
      </c>
      <c r="AI55" s="33">
        <v>102.5</v>
      </c>
      <c r="AJ55" s="33">
        <v>125.6</v>
      </c>
      <c r="AK55" s="33">
        <v>150.5</v>
      </c>
      <c r="AL55" s="33">
        <v>184</v>
      </c>
      <c r="AM55" s="33">
        <v>122.8</v>
      </c>
      <c r="AN55" s="33">
        <v>109.06</v>
      </c>
      <c r="AO55" s="33">
        <v>118.3</v>
      </c>
      <c r="AP55" s="33">
        <v>117</v>
      </c>
    </row>
    <row r="56" spans="1:69" x14ac:dyDescent="0.25">
      <c r="A56" s="40">
        <f t="shared" si="0"/>
        <v>44531</v>
      </c>
      <c r="B56" s="33">
        <v>109.4</v>
      </c>
      <c r="C56" s="54">
        <v>122.4</v>
      </c>
      <c r="D56" s="33">
        <v>123.2</v>
      </c>
      <c r="E56" s="41">
        <v>143.4</v>
      </c>
      <c r="F56" s="33">
        <v>131.08000000000001</v>
      </c>
      <c r="G56" s="33">
        <v>106.7</v>
      </c>
      <c r="H56" s="33">
        <v>111.4</v>
      </c>
      <c r="I56" s="33">
        <v>141.4</v>
      </c>
      <c r="J56" s="41">
        <v>453.8</v>
      </c>
      <c r="K56" s="45">
        <f>'GAZOLE ROUTIER HTT'!C52</f>
        <v>117.58807671987852</v>
      </c>
      <c r="L56" s="33">
        <v>124.2</v>
      </c>
      <c r="M56" s="33">
        <v>145.80000000000001</v>
      </c>
      <c r="N56" s="33">
        <v>106.9</v>
      </c>
      <c r="O56" s="33">
        <v>192.6</v>
      </c>
      <c r="P56" s="33">
        <v>103</v>
      </c>
      <c r="Q56" s="33">
        <v>122.8</v>
      </c>
      <c r="R56" s="33">
        <v>108.6</v>
      </c>
      <c r="S56" s="197">
        <v>137</v>
      </c>
      <c r="T56" s="33">
        <v>191.7</v>
      </c>
      <c r="U56" s="33">
        <v>183.9</v>
      </c>
      <c r="V56" s="33">
        <v>113.7</v>
      </c>
      <c r="W56" s="33">
        <v>100</v>
      </c>
      <c r="X56" s="33">
        <v>104.5</v>
      </c>
      <c r="Y56" s="33">
        <v>105</v>
      </c>
      <c r="Z56" s="41">
        <v>113.10483870967742</v>
      </c>
      <c r="AA56" s="33">
        <v>112.3</v>
      </c>
      <c r="AB56" s="33">
        <v>146.80000000000001</v>
      </c>
      <c r="AC56" s="33">
        <v>121.7</v>
      </c>
      <c r="AD56" s="33">
        <v>107.1</v>
      </c>
      <c r="AE56" s="33">
        <v>127.7</v>
      </c>
      <c r="AF56" s="33">
        <v>107.6</v>
      </c>
      <c r="AG56" s="33">
        <v>107.7</v>
      </c>
      <c r="AH56" s="33">
        <v>96.9</v>
      </c>
      <c r="AI56" s="33">
        <v>102.9</v>
      </c>
      <c r="AJ56" s="33">
        <v>120.5</v>
      </c>
      <c r="AK56" s="33">
        <v>150.5</v>
      </c>
      <c r="AL56" s="33">
        <v>180.3</v>
      </c>
      <c r="AM56" s="33">
        <v>123.9</v>
      </c>
      <c r="AN56" s="33">
        <v>109.24</v>
      </c>
      <c r="AO56" s="33">
        <v>118.7</v>
      </c>
      <c r="AP56" s="33">
        <v>119</v>
      </c>
    </row>
    <row r="57" spans="1:69" s="33" customFormat="1" x14ac:dyDescent="0.25">
      <c r="A57" s="40">
        <f t="shared" si="0"/>
        <v>44562</v>
      </c>
      <c r="B57" s="33">
        <v>110.8</v>
      </c>
      <c r="C57" s="54">
        <v>122.6</v>
      </c>
      <c r="D57" s="33">
        <v>123.6</v>
      </c>
      <c r="E57" s="41">
        <v>156.1</v>
      </c>
      <c r="F57" s="33">
        <v>138.13999999999999</v>
      </c>
      <c r="G57" s="33">
        <v>106.8</v>
      </c>
      <c r="H57" s="33">
        <v>111.4</v>
      </c>
      <c r="I57" s="46">
        <v>153.9</v>
      </c>
      <c r="J57" s="41">
        <v>525.1</v>
      </c>
      <c r="K57" s="45">
        <f>'GAZOLE ROUTIER HTT'!C53</f>
        <v>133.34803453745306</v>
      </c>
      <c r="L57" s="33">
        <v>126.1</v>
      </c>
      <c r="M57" s="33">
        <v>152.6</v>
      </c>
      <c r="N57" s="33">
        <v>109.8</v>
      </c>
      <c r="O57" s="33">
        <v>193.7</v>
      </c>
      <c r="P57" s="33">
        <v>105.7</v>
      </c>
      <c r="Q57" s="33">
        <v>124.9</v>
      </c>
      <c r="R57" s="33">
        <v>123</v>
      </c>
      <c r="S57" s="197">
        <v>151.1</v>
      </c>
      <c r="T57" s="33">
        <v>192.2</v>
      </c>
      <c r="U57" s="33">
        <v>182.4</v>
      </c>
      <c r="V57" s="33">
        <v>114.2</v>
      </c>
      <c r="W57" s="33">
        <v>104.6</v>
      </c>
      <c r="X57" s="33">
        <v>110.6</v>
      </c>
      <c r="Y57" s="33">
        <v>111.2</v>
      </c>
      <c r="Z57" s="41">
        <v>114.51612903225806</v>
      </c>
      <c r="AA57" s="33">
        <v>113.8</v>
      </c>
      <c r="AB57" s="33">
        <v>154.80000000000001</v>
      </c>
      <c r="AC57" s="33">
        <v>131.4</v>
      </c>
      <c r="AD57" s="33">
        <v>109.5</v>
      </c>
      <c r="AE57" s="33">
        <v>131.6</v>
      </c>
      <c r="AF57" s="33">
        <v>110.3</v>
      </c>
      <c r="AG57" s="33">
        <v>111.4</v>
      </c>
      <c r="AH57" s="33">
        <v>98</v>
      </c>
      <c r="AI57" s="33">
        <v>102.9</v>
      </c>
      <c r="AJ57" s="33">
        <v>124.1</v>
      </c>
      <c r="AK57" s="33">
        <v>173.6</v>
      </c>
      <c r="AL57" s="33">
        <v>176.4</v>
      </c>
      <c r="AM57" s="33">
        <v>126.2</v>
      </c>
      <c r="AN57" s="33">
        <v>110.08</v>
      </c>
      <c r="AO57" s="33">
        <v>124.9</v>
      </c>
      <c r="AP57" s="33">
        <v>130.19999999999999</v>
      </c>
    </row>
    <row r="58" spans="1:69" x14ac:dyDescent="0.25">
      <c r="A58" s="40">
        <f t="shared" si="0"/>
        <v>44593</v>
      </c>
      <c r="B58" s="33">
        <v>111.3</v>
      </c>
      <c r="C58" s="54">
        <v>122.8</v>
      </c>
      <c r="D58" s="33">
        <v>124</v>
      </c>
      <c r="E58" s="41">
        <v>167.4</v>
      </c>
      <c r="F58" s="33">
        <v>145.84</v>
      </c>
      <c r="G58" s="33">
        <v>106.8</v>
      </c>
      <c r="H58" s="33">
        <v>111.4</v>
      </c>
      <c r="I58">
        <v>159</v>
      </c>
      <c r="J58" s="41">
        <v>410.7</v>
      </c>
      <c r="K58" s="45">
        <f>'GAZOLE ROUTIER HTT'!C54</f>
        <v>144.33923121562654</v>
      </c>
      <c r="L58">
        <v>127.4</v>
      </c>
      <c r="M58" s="33">
        <v>152.5</v>
      </c>
      <c r="N58" s="33">
        <v>109.6</v>
      </c>
      <c r="O58" s="33">
        <v>196.9</v>
      </c>
      <c r="P58" s="33">
        <v>105.7</v>
      </c>
      <c r="Q58" s="33">
        <v>127.6</v>
      </c>
      <c r="R58" s="33">
        <v>122</v>
      </c>
      <c r="S58" s="197">
        <v>155</v>
      </c>
      <c r="T58" s="33">
        <v>199</v>
      </c>
      <c r="U58" s="33">
        <v>198</v>
      </c>
      <c r="V58" s="33">
        <v>118.2</v>
      </c>
      <c r="W58">
        <v>105.1</v>
      </c>
      <c r="X58">
        <v>109.4</v>
      </c>
      <c r="Y58" s="33">
        <v>116</v>
      </c>
      <c r="Z58" s="41">
        <v>114.21370967741936</v>
      </c>
      <c r="AA58" s="33">
        <v>113.9</v>
      </c>
      <c r="AB58" s="33">
        <v>156.80000000000001</v>
      </c>
      <c r="AC58" s="33">
        <v>132.5</v>
      </c>
      <c r="AD58" s="33">
        <v>112.5</v>
      </c>
      <c r="AE58" s="33">
        <v>134.4</v>
      </c>
      <c r="AF58" s="33">
        <v>112.1</v>
      </c>
      <c r="AG58" s="33">
        <v>113</v>
      </c>
      <c r="AH58" s="33">
        <v>99</v>
      </c>
      <c r="AI58" s="33">
        <v>102.6</v>
      </c>
      <c r="AJ58" s="33">
        <v>138.5</v>
      </c>
      <c r="AK58" s="33">
        <v>174.5</v>
      </c>
      <c r="AL58" s="33">
        <v>175.6</v>
      </c>
      <c r="AM58" s="33">
        <v>127.1</v>
      </c>
      <c r="AN58" s="33">
        <v>110.46</v>
      </c>
      <c r="AO58" s="33">
        <v>126.3</v>
      </c>
      <c r="AP58" s="33">
        <v>133</v>
      </c>
    </row>
    <row r="59" spans="1:69" x14ac:dyDescent="0.25">
      <c r="A59" s="40">
        <f t="shared" si="0"/>
        <v>44621</v>
      </c>
      <c r="B59" s="33">
        <v>111.1</v>
      </c>
      <c r="C59" s="103">
        <v>123</v>
      </c>
      <c r="D59" s="33">
        <v>124.5</v>
      </c>
      <c r="E59" s="41">
        <v>224.4</v>
      </c>
      <c r="F59" s="33">
        <v>171.16</v>
      </c>
      <c r="G59" s="33">
        <v>106.8</v>
      </c>
      <c r="H59" s="33">
        <v>111.4</v>
      </c>
      <c r="I59">
        <v>173</v>
      </c>
      <c r="J59" s="41">
        <v>466.9</v>
      </c>
      <c r="K59" s="45">
        <f>'GAZOLE ROUTIER HTT'!C55</f>
        <v>191.7609265609718</v>
      </c>
      <c r="L59">
        <v>127.2</v>
      </c>
      <c r="M59" s="33">
        <v>152.5</v>
      </c>
      <c r="N59" s="33">
        <v>109.3</v>
      </c>
      <c r="O59" s="33">
        <v>213.4</v>
      </c>
      <c r="P59" s="33">
        <v>106.1</v>
      </c>
      <c r="Q59" s="33">
        <v>129.5</v>
      </c>
      <c r="R59" s="33">
        <v>121.8</v>
      </c>
      <c r="S59" s="197">
        <v>167.8</v>
      </c>
      <c r="T59" s="33">
        <v>208.8</v>
      </c>
      <c r="U59" s="33">
        <v>224.3</v>
      </c>
      <c r="V59" s="33">
        <v>117.3</v>
      </c>
      <c r="W59" s="33">
        <v>106.4</v>
      </c>
      <c r="X59" s="33">
        <v>110.8</v>
      </c>
      <c r="Y59" s="33">
        <v>118.7</v>
      </c>
      <c r="Z59" s="41">
        <v>113.10483870967742</v>
      </c>
      <c r="AA59" s="33">
        <v>115.4</v>
      </c>
      <c r="AB59" s="33">
        <v>160</v>
      </c>
      <c r="AC59" s="33">
        <v>135.6</v>
      </c>
      <c r="AD59" s="33">
        <v>112.4</v>
      </c>
      <c r="AE59" s="33">
        <v>134.6</v>
      </c>
      <c r="AF59" s="33">
        <v>112.5</v>
      </c>
      <c r="AG59" s="33">
        <v>113.3</v>
      </c>
      <c r="AH59" s="33">
        <v>99.2</v>
      </c>
      <c r="AI59" s="33">
        <v>102.9</v>
      </c>
      <c r="AJ59" s="33">
        <v>126.4</v>
      </c>
      <c r="AK59" s="33">
        <v>180</v>
      </c>
      <c r="AL59" s="33">
        <v>178.1</v>
      </c>
      <c r="AM59" s="33">
        <v>129.6</v>
      </c>
      <c r="AN59" s="33">
        <v>111.45</v>
      </c>
      <c r="AO59" s="33">
        <v>126.9</v>
      </c>
      <c r="AP59" s="33">
        <v>142</v>
      </c>
    </row>
    <row r="60" spans="1:69" x14ac:dyDescent="0.25">
      <c r="A60" s="40">
        <f t="shared" si="0"/>
        <v>44652</v>
      </c>
      <c r="B60" s="33">
        <v>113.4</v>
      </c>
      <c r="C60" s="103">
        <v>123.2</v>
      </c>
      <c r="D60" s="33">
        <v>124.8</v>
      </c>
      <c r="E60" s="41">
        <v>188.1</v>
      </c>
      <c r="F60" s="33">
        <v>158.51</v>
      </c>
      <c r="G60" s="33">
        <v>109.9</v>
      </c>
      <c r="H60" s="33">
        <v>115.1</v>
      </c>
      <c r="I60" s="33">
        <v>159.19999999999999</v>
      </c>
      <c r="J60" s="41">
        <v>582.29999999999995</v>
      </c>
      <c r="K60" s="45">
        <f>'GAZOLE ROUTIER HTT'!C56</f>
        <v>166.232985889085</v>
      </c>
      <c r="L60">
        <v>130.19999999999999</v>
      </c>
      <c r="M60" s="33">
        <v>160.30000000000001</v>
      </c>
      <c r="N60" s="33">
        <v>111.3</v>
      </c>
      <c r="O60" s="33">
        <v>249.2</v>
      </c>
      <c r="P60" s="33">
        <v>107.5</v>
      </c>
      <c r="Q60" s="33">
        <v>133.69999999999999</v>
      </c>
      <c r="R60" s="33">
        <v>123.5</v>
      </c>
      <c r="S60" s="197">
        <v>167.9</v>
      </c>
      <c r="T60" s="33">
        <v>244.4</v>
      </c>
      <c r="U60" s="33">
        <v>256</v>
      </c>
      <c r="V60" s="33">
        <v>118.1</v>
      </c>
      <c r="W60" s="33">
        <v>106.9</v>
      </c>
      <c r="X60" s="33">
        <v>115.6</v>
      </c>
      <c r="Y60" s="33">
        <v>123.6</v>
      </c>
      <c r="Z60" s="41">
        <v>112.5</v>
      </c>
      <c r="AA60" s="33">
        <v>116.8</v>
      </c>
      <c r="AB60" s="33">
        <v>171.9</v>
      </c>
      <c r="AC60" s="33">
        <v>138.69999999999999</v>
      </c>
      <c r="AD60" s="33">
        <v>112.5</v>
      </c>
      <c r="AE60" s="33">
        <v>139.1</v>
      </c>
      <c r="AF60" s="33">
        <v>113.7</v>
      </c>
      <c r="AG60" s="33">
        <v>114.8</v>
      </c>
      <c r="AH60" s="33">
        <v>99.1</v>
      </c>
      <c r="AI60" s="33">
        <v>103.5</v>
      </c>
      <c r="AJ60" s="33">
        <v>125</v>
      </c>
      <c r="AK60" s="33">
        <v>194.1</v>
      </c>
      <c r="AL60" s="33">
        <v>181.2</v>
      </c>
      <c r="AM60" s="33">
        <v>131.6</v>
      </c>
      <c r="AN60" s="33">
        <v>110.96</v>
      </c>
      <c r="AO60" s="33">
        <v>126.7</v>
      </c>
      <c r="AP60" s="33">
        <v>144.5</v>
      </c>
    </row>
    <row r="61" spans="1:69" x14ac:dyDescent="0.25">
      <c r="A61" s="40">
        <f t="shared" si="0"/>
        <v>44682</v>
      </c>
      <c r="B61" s="33">
        <v>113.2</v>
      </c>
      <c r="C61" s="103">
        <v>123.5</v>
      </c>
      <c r="D61" s="33">
        <v>125.2</v>
      </c>
      <c r="E61" s="41">
        <v>188.8</v>
      </c>
      <c r="F61" s="33">
        <v>161.19</v>
      </c>
      <c r="G61" s="33">
        <v>110.4</v>
      </c>
      <c r="H61" s="33">
        <v>115.1</v>
      </c>
      <c r="I61" s="33">
        <v>137.69999999999999</v>
      </c>
      <c r="J61" s="41">
        <v>463.2</v>
      </c>
      <c r="K61" s="45">
        <f>'GAZOLE ROUTIER HTT'!C57</f>
        <v>169.10487921467225</v>
      </c>
      <c r="L61" s="33">
        <v>135.69999999999999</v>
      </c>
      <c r="M61" s="33">
        <v>160.5</v>
      </c>
      <c r="N61" s="33">
        <v>112.6</v>
      </c>
      <c r="O61" s="33">
        <v>270.7</v>
      </c>
      <c r="P61" s="33">
        <v>108.3</v>
      </c>
      <c r="Q61" s="33">
        <v>138.19999999999999</v>
      </c>
      <c r="R61" s="33">
        <v>126.5</v>
      </c>
      <c r="S61" s="33">
        <v>171.6</v>
      </c>
      <c r="T61" s="33">
        <v>265.3</v>
      </c>
      <c r="U61" s="33">
        <v>248.1</v>
      </c>
      <c r="V61" s="33">
        <v>118.9</v>
      </c>
      <c r="W61" s="33">
        <v>109.1</v>
      </c>
      <c r="X61" s="33">
        <v>121</v>
      </c>
      <c r="Y61" s="33">
        <v>127.6</v>
      </c>
      <c r="Z61" s="41">
        <v>117.6</v>
      </c>
      <c r="AA61" s="33">
        <v>116.9</v>
      </c>
      <c r="AB61" s="33">
        <v>178.4</v>
      </c>
      <c r="AC61" s="33">
        <v>139.6</v>
      </c>
      <c r="AD61" s="33">
        <v>114.2</v>
      </c>
      <c r="AE61" s="33">
        <v>141.6</v>
      </c>
      <c r="AF61" s="33">
        <v>114.7</v>
      </c>
      <c r="AG61" s="33">
        <v>115</v>
      </c>
      <c r="AH61" s="33">
        <v>100.9</v>
      </c>
      <c r="AI61" s="33">
        <v>103.8</v>
      </c>
      <c r="AJ61" s="33">
        <v>132.5</v>
      </c>
      <c r="AK61" s="33">
        <v>197.9</v>
      </c>
      <c r="AL61" s="33">
        <v>188.4</v>
      </c>
      <c r="AM61" s="33">
        <v>134.19999999999999</v>
      </c>
      <c r="AN61" s="33">
        <v>112.72</v>
      </c>
      <c r="AO61" s="33">
        <v>126.9</v>
      </c>
      <c r="AP61" s="33">
        <v>141.69999999999999</v>
      </c>
    </row>
    <row r="62" spans="1:69" x14ac:dyDescent="0.25">
      <c r="A62" s="40">
        <f t="shared" si="0"/>
        <v>44713</v>
      </c>
      <c r="B62" s="33">
        <v>113.3</v>
      </c>
      <c r="C62" s="103">
        <v>123.7</v>
      </c>
      <c r="D62" s="33">
        <v>125.5</v>
      </c>
      <c r="E62" s="41">
        <v>220</v>
      </c>
      <c r="F62" s="33">
        <v>177.37</v>
      </c>
      <c r="G62" s="33">
        <v>111.8</v>
      </c>
      <c r="H62" s="33">
        <v>115.1</v>
      </c>
      <c r="I62" s="33">
        <v>119.7</v>
      </c>
      <c r="J62" s="41">
        <v>470.1</v>
      </c>
      <c r="K62" s="45">
        <f>'GAZOLE ROUTIER HTT'!C58</f>
        <v>198.40882777760893</v>
      </c>
      <c r="L62" s="33">
        <v>137.6</v>
      </c>
      <c r="M62" s="33">
        <v>160.6</v>
      </c>
      <c r="N62" s="33">
        <v>112</v>
      </c>
      <c r="O62" s="33">
        <v>256.3</v>
      </c>
      <c r="P62" s="33">
        <v>109.6</v>
      </c>
      <c r="Q62" s="33">
        <v>140.69999999999999</v>
      </c>
      <c r="R62" s="33">
        <v>132.4</v>
      </c>
      <c r="S62" s="33">
        <v>175.7</v>
      </c>
      <c r="T62" s="33">
        <v>253.5</v>
      </c>
      <c r="U62" s="33">
        <v>260.7</v>
      </c>
      <c r="V62" s="33">
        <v>123.4</v>
      </c>
      <c r="W62" s="33">
        <v>110.6</v>
      </c>
      <c r="X62" s="33">
        <v>123.9</v>
      </c>
      <c r="Y62" s="33">
        <v>128.69999999999999</v>
      </c>
      <c r="Z62" s="41">
        <v>121.5</v>
      </c>
      <c r="AA62" s="33">
        <v>118.4</v>
      </c>
      <c r="AB62" s="33">
        <v>175.9</v>
      </c>
      <c r="AC62" s="33">
        <v>147.5</v>
      </c>
      <c r="AD62" s="33">
        <v>117.1</v>
      </c>
      <c r="AE62" s="33">
        <v>143.1</v>
      </c>
      <c r="AF62" s="33">
        <v>115.5</v>
      </c>
      <c r="AG62" s="33">
        <v>115.6</v>
      </c>
      <c r="AH62" s="33">
        <v>101.9</v>
      </c>
      <c r="AI62" s="33">
        <v>103.6</v>
      </c>
      <c r="AJ62" s="33">
        <v>138.4</v>
      </c>
      <c r="AK62" s="33">
        <v>197.6</v>
      </c>
      <c r="AL62" s="33">
        <v>184.8</v>
      </c>
      <c r="AM62" s="33">
        <v>133.6</v>
      </c>
      <c r="AN62" s="33">
        <v>114.25</v>
      </c>
      <c r="AO62" s="33">
        <v>126.8</v>
      </c>
      <c r="AP62" s="33">
        <v>136.69999999999999</v>
      </c>
    </row>
    <row r="63" spans="1:69" x14ac:dyDescent="0.25">
      <c r="A63" s="40">
        <f t="shared" si="0"/>
        <v>44743</v>
      </c>
      <c r="B63" s="33">
        <v>116.6</v>
      </c>
      <c r="C63" s="53">
        <v>123.7</v>
      </c>
      <c r="D63" s="51">
        <v>125.5</v>
      </c>
      <c r="E63" s="41">
        <v>198.7</v>
      </c>
      <c r="F63" s="33">
        <v>169.9</v>
      </c>
      <c r="G63" s="33">
        <v>115.2</v>
      </c>
      <c r="H63" s="33">
        <v>117.1</v>
      </c>
      <c r="I63" s="33">
        <v>121.5</v>
      </c>
      <c r="J63" s="41">
        <v>555.29999999999995</v>
      </c>
      <c r="K63" s="45">
        <f>'GAZOLE ROUTIER HTT'!C59</f>
        <v>182.79069185265595</v>
      </c>
      <c r="L63" s="33">
        <v>135.9</v>
      </c>
      <c r="M63" s="33">
        <v>160.6</v>
      </c>
      <c r="N63" s="33">
        <v>113.3</v>
      </c>
      <c r="O63" s="33">
        <v>246.9</v>
      </c>
      <c r="P63" s="33">
        <v>110.7</v>
      </c>
      <c r="Q63" s="33">
        <v>140.4</v>
      </c>
      <c r="R63" s="33">
        <v>133.6</v>
      </c>
      <c r="S63" s="33">
        <v>172</v>
      </c>
      <c r="T63" s="33">
        <v>252.4</v>
      </c>
      <c r="U63" s="33">
        <v>243.5</v>
      </c>
      <c r="V63" s="33">
        <v>125.3</v>
      </c>
      <c r="W63" s="33">
        <v>110.4</v>
      </c>
      <c r="X63" s="33">
        <v>126.1</v>
      </c>
      <c r="Y63" s="33">
        <v>132.5</v>
      </c>
      <c r="Z63" s="41">
        <v>124</v>
      </c>
      <c r="AA63" s="33">
        <v>118.4</v>
      </c>
      <c r="AB63" s="33">
        <v>168.4</v>
      </c>
      <c r="AC63" s="33">
        <v>155</v>
      </c>
      <c r="AD63" s="33">
        <v>121.2</v>
      </c>
      <c r="AE63" s="51">
        <v>143.1</v>
      </c>
      <c r="AF63" s="33">
        <v>116.3</v>
      </c>
      <c r="AG63" s="33">
        <v>116.8</v>
      </c>
      <c r="AH63" s="33">
        <v>101.6</v>
      </c>
      <c r="AI63" s="33">
        <v>104.5</v>
      </c>
      <c r="AJ63" s="33">
        <v>143.6</v>
      </c>
      <c r="AK63" s="33">
        <v>190.4</v>
      </c>
      <c r="AL63" s="33">
        <v>195.8</v>
      </c>
      <c r="AM63" s="33">
        <v>134.30000000000001</v>
      </c>
      <c r="AN63" s="33">
        <v>118.88</v>
      </c>
      <c r="AO63" s="33">
        <v>127.5</v>
      </c>
      <c r="AP63" s="33">
        <v>132.1</v>
      </c>
      <c r="AQ63" s="197"/>
      <c r="AR63" s="197"/>
      <c r="AS63" s="197"/>
      <c r="AT63" s="197"/>
      <c r="AU63" s="197"/>
      <c r="AV63" s="197"/>
      <c r="AW63" s="197"/>
      <c r="AX63" s="197"/>
      <c r="AY63" s="197"/>
      <c r="AZ63" s="197"/>
      <c r="BA63" s="197"/>
      <c r="BB63" s="197"/>
      <c r="BC63" s="197"/>
      <c r="BD63" s="197"/>
      <c r="BE63" s="197"/>
      <c r="BF63" s="197"/>
      <c r="BG63" s="197"/>
      <c r="BH63" s="197"/>
      <c r="BI63" s="197"/>
      <c r="BJ63" s="197"/>
      <c r="BK63" s="197"/>
      <c r="BL63" s="197"/>
      <c r="BM63" s="197"/>
      <c r="BN63" s="197"/>
      <c r="BO63" s="197"/>
      <c r="BP63" s="197"/>
      <c r="BQ63" s="197"/>
    </row>
    <row r="64" spans="1:69" x14ac:dyDescent="0.25">
      <c r="A64" s="40">
        <f t="shared" si="0"/>
        <v>44774</v>
      </c>
      <c r="B64" s="33">
        <v>116.6</v>
      </c>
      <c r="C64" s="53">
        <v>123.7</v>
      </c>
      <c r="D64" s="51">
        <v>125.5</v>
      </c>
      <c r="E64" s="41">
        <v>189.1</v>
      </c>
      <c r="F64" s="33">
        <v>158.9</v>
      </c>
      <c r="G64" s="33">
        <v>115.3</v>
      </c>
      <c r="H64" s="33">
        <v>117.1</v>
      </c>
      <c r="I64" s="33">
        <v>122.9</v>
      </c>
      <c r="J64" s="41">
        <v>820.3</v>
      </c>
      <c r="K64" s="45">
        <v>165.98479757699718</v>
      </c>
      <c r="L64" s="33">
        <v>136.9</v>
      </c>
      <c r="M64" s="33">
        <v>160.6</v>
      </c>
      <c r="N64" s="33">
        <v>116.6</v>
      </c>
      <c r="O64" s="33">
        <v>241.2</v>
      </c>
      <c r="P64" s="33">
        <v>111.1</v>
      </c>
      <c r="Q64" s="33">
        <v>139.30000000000001</v>
      </c>
      <c r="R64" s="33">
        <v>133.4</v>
      </c>
      <c r="S64" s="33">
        <v>172.4</v>
      </c>
      <c r="T64" s="33">
        <v>252.7</v>
      </c>
      <c r="U64" s="33">
        <v>215.4</v>
      </c>
      <c r="V64" s="33">
        <v>123.3</v>
      </c>
      <c r="W64" s="33">
        <v>111.7</v>
      </c>
      <c r="X64" s="33">
        <v>125.8</v>
      </c>
      <c r="Y64" s="33">
        <v>133.9</v>
      </c>
      <c r="Z64" s="41">
        <v>124.5</v>
      </c>
      <c r="AA64" s="33">
        <v>117.8</v>
      </c>
      <c r="AB64" s="33">
        <v>170</v>
      </c>
      <c r="AC64" s="33">
        <v>157.4</v>
      </c>
      <c r="AD64" s="33">
        <v>122.7</v>
      </c>
      <c r="AE64" s="51">
        <v>143.1</v>
      </c>
      <c r="AF64" s="33">
        <v>118</v>
      </c>
      <c r="AG64" s="33">
        <v>118.7</v>
      </c>
      <c r="AH64" s="33">
        <v>102</v>
      </c>
      <c r="AI64" s="33">
        <v>104.6</v>
      </c>
      <c r="AJ64" s="33">
        <v>146.80000000000001</v>
      </c>
      <c r="AK64" s="33">
        <v>185.7</v>
      </c>
      <c r="AL64" s="33">
        <v>189.2</v>
      </c>
      <c r="AM64" s="33">
        <v>134.9</v>
      </c>
      <c r="AN64" s="33">
        <v>120.65</v>
      </c>
      <c r="AO64" s="33">
        <v>127.5</v>
      </c>
      <c r="AP64" s="33">
        <v>127.9</v>
      </c>
    </row>
    <row r="65" spans="1:57" x14ac:dyDescent="0.25">
      <c r="A65" s="40">
        <f t="shared" si="0"/>
        <v>44805</v>
      </c>
      <c r="B65" s="33">
        <v>117.1</v>
      </c>
      <c r="C65" s="53">
        <v>123.7</v>
      </c>
      <c r="D65" s="51">
        <v>125.5</v>
      </c>
      <c r="E65" s="41">
        <v>175</v>
      </c>
      <c r="F65" s="33">
        <v>148.12</v>
      </c>
      <c r="G65" s="33">
        <v>112.8</v>
      </c>
      <c r="H65" s="33">
        <v>117.1</v>
      </c>
      <c r="I65" s="33">
        <v>119.8</v>
      </c>
      <c r="J65" s="41">
        <v>972.8</v>
      </c>
      <c r="K65" s="45">
        <v>145.70426693210933</v>
      </c>
      <c r="L65" s="33">
        <v>135.69999999999999</v>
      </c>
      <c r="M65" s="33">
        <v>160.6</v>
      </c>
      <c r="N65" s="33">
        <v>114.6</v>
      </c>
      <c r="O65" s="33">
        <v>229.2</v>
      </c>
      <c r="P65" s="33">
        <v>110.9</v>
      </c>
      <c r="Q65" s="33">
        <v>136.69999999999999</v>
      </c>
      <c r="R65" s="33">
        <v>133.9</v>
      </c>
      <c r="S65" s="33">
        <v>166.9</v>
      </c>
      <c r="T65" s="33">
        <v>241.5</v>
      </c>
      <c r="U65" s="33">
        <v>212.8</v>
      </c>
      <c r="V65" s="33">
        <v>119.2</v>
      </c>
      <c r="W65" s="33">
        <v>111.8</v>
      </c>
      <c r="X65" s="33">
        <v>127</v>
      </c>
      <c r="Y65" s="33">
        <v>133.19999999999999</v>
      </c>
      <c r="Z65" s="30">
        <v>125.6</v>
      </c>
      <c r="AA65" s="33">
        <v>118.4</v>
      </c>
      <c r="AB65" s="33">
        <v>164.8</v>
      </c>
      <c r="AC65" s="33">
        <v>151.19999999999999</v>
      </c>
      <c r="AD65" s="33">
        <v>120.3</v>
      </c>
      <c r="AE65" s="51">
        <v>143.1</v>
      </c>
      <c r="AF65" s="33">
        <v>117</v>
      </c>
      <c r="AG65" s="33">
        <v>116.8</v>
      </c>
      <c r="AH65" s="197">
        <v>103</v>
      </c>
      <c r="AI65" s="33">
        <v>104.8</v>
      </c>
      <c r="AJ65" s="33">
        <v>152.80000000000001</v>
      </c>
      <c r="AK65" s="33">
        <v>183.8</v>
      </c>
      <c r="AL65" s="33">
        <v>168.9</v>
      </c>
      <c r="AM65" s="33">
        <v>135.19999999999999</v>
      </c>
      <c r="AN65" s="33">
        <v>114.92</v>
      </c>
      <c r="AO65" s="33">
        <v>127.5</v>
      </c>
      <c r="AP65" s="33">
        <v>130.30000000000001</v>
      </c>
      <c r="AQ65" s="197"/>
      <c r="AR65" s="197"/>
      <c r="AS65" s="197"/>
      <c r="AT65" s="197"/>
      <c r="AU65" s="197"/>
      <c r="AV65" s="197"/>
      <c r="AW65" s="197"/>
      <c r="AX65" s="197"/>
      <c r="AY65" s="197"/>
      <c r="AZ65" s="197"/>
      <c r="BA65" s="197"/>
      <c r="BB65" s="197"/>
      <c r="BC65" s="197"/>
      <c r="BD65" s="197"/>
      <c r="BE65" s="197"/>
    </row>
    <row r="66" spans="1:57" x14ac:dyDescent="0.25">
      <c r="A66" s="40">
        <f t="shared" si="0"/>
        <v>44835</v>
      </c>
      <c r="C66" s="229"/>
      <c r="D66" s="229"/>
      <c r="E66" s="229"/>
      <c r="F66" s="229"/>
      <c r="G66" s="229"/>
      <c r="H66" s="229"/>
      <c r="M66" s="197"/>
      <c r="Z66" s="30"/>
    </row>
    <row r="67" spans="1:57" x14ac:dyDescent="0.25">
      <c r="A67" s="40">
        <f t="shared" si="0"/>
        <v>44866</v>
      </c>
      <c r="M67" s="197"/>
      <c r="Z67" s="30"/>
    </row>
    <row r="68" spans="1:57" x14ac:dyDescent="0.25">
      <c r="A68" s="40">
        <f t="shared" si="0"/>
        <v>44896</v>
      </c>
      <c r="M68" s="197"/>
      <c r="Z68" s="30"/>
    </row>
    <row r="69" spans="1:57" x14ac:dyDescent="0.25">
      <c r="A69" s="40">
        <f t="shared" si="0"/>
        <v>44927</v>
      </c>
      <c r="D69" s="197"/>
      <c r="M69" s="197"/>
      <c r="Z69" s="30"/>
    </row>
    <row r="70" spans="1:57" x14ac:dyDescent="0.25">
      <c r="A70" s="40">
        <f t="shared" si="0"/>
        <v>44958</v>
      </c>
      <c r="D70" s="197"/>
      <c r="M70" s="197"/>
      <c r="Z70" s="30"/>
    </row>
    <row r="71" spans="1:57" x14ac:dyDescent="0.25">
      <c r="A71" s="40">
        <f t="shared" si="0"/>
        <v>44986</v>
      </c>
      <c r="D71" s="197"/>
      <c r="M71" s="197"/>
      <c r="Z71" s="30"/>
    </row>
    <row r="72" spans="1:57" x14ac:dyDescent="0.25">
      <c r="A72" s="40">
        <f t="shared" ref="A72:A92" si="1">EDATE(A71,1)</f>
        <v>45017</v>
      </c>
      <c r="D72" s="197"/>
      <c r="M72" s="197"/>
      <c r="Z72" s="30"/>
    </row>
    <row r="73" spans="1:57" x14ac:dyDescent="0.25">
      <c r="A73" s="40">
        <f t="shared" si="1"/>
        <v>45047</v>
      </c>
      <c r="D73" s="197"/>
      <c r="M73" s="197"/>
      <c r="Z73" s="30"/>
    </row>
    <row r="74" spans="1:57" x14ac:dyDescent="0.25">
      <c r="A74" s="40">
        <f t="shared" si="1"/>
        <v>45078</v>
      </c>
      <c r="D74" s="197"/>
      <c r="M74" s="197"/>
      <c r="Z74" s="30"/>
    </row>
    <row r="75" spans="1:57" x14ac:dyDescent="0.25">
      <c r="A75" s="40">
        <f t="shared" si="1"/>
        <v>45108</v>
      </c>
      <c r="D75" s="197"/>
      <c r="M75" s="197"/>
      <c r="Z75" s="30"/>
    </row>
    <row r="76" spans="1:57" x14ac:dyDescent="0.25">
      <c r="A76" s="40">
        <f t="shared" si="1"/>
        <v>45139</v>
      </c>
      <c r="D76" s="197"/>
      <c r="M76" s="197"/>
      <c r="Z76" s="30"/>
    </row>
    <row r="77" spans="1:57" x14ac:dyDescent="0.25">
      <c r="A77" s="40">
        <f t="shared" si="1"/>
        <v>45170</v>
      </c>
      <c r="D77" s="197"/>
      <c r="M77" s="197"/>
      <c r="Z77" s="30"/>
    </row>
    <row r="78" spans="1:57" x14ac:dyDescent="0.25">
      <c r="A78" s="40">
        <f t="shared" si="1"/>
        <v>45200</v>
      </c>
      <c r="D78" s="197"/>
      <c r="M78" s="197"/>
      <c r="Z78" s="30"/>
    </row>
    <row r="79" spans="1:57" x14ac:dyDescent="0.25">
      <c r="A79" s="40">
        <f t="shared" si="1"/>
        <v>45231</v>
      </c>
      <c r="D79" s="197"/>
      <c r="M79" s="197"/>
    </row>
    <row r="80" spans="1:57" x14ac:dyDescent="0.25">
      <c r="A80" s="40">
        <f t="shared" si="1"/>
        <v>45261</v>
      </c>
      <c r="D80" s="197"/>
      <c r="M80" s="197"/>
    </row>
    <row r="81" spans="1:13" x14ac:dyDescent="0.25">
      <c r="A81" s="40">
        <f t="shared" si="1"/>
        <v>45292</v>
      </c>
      <c r="D81" s="197"/>
      <c r="M81" s="197"/>
    </row>
    <row r="82" spans="1:13" x14ac:dyDescent="0.25">
      <c r="A82" s="40">
        <f t="shared" si="1"/>
        <v>45323</v>
      </c>
      <c r="D82" s="197"/>
      <c r="M82" s="197"/>
    </row>
    <row r="83" spans="1:13" x14ac:dyDescent="0.25">
      <c r="A83" s="40">
        <f t="shared" si="1"/>
        <v>45352</v>
      </c>
      <c r="D83" s="197"/>
      <c r="M83" s="197"/>
    </row>
    <row r="84" spans="1:13" x14ac:dyDescent="0.25">
      <c r="A84" s="40">
        <f t="shared" si="1"/>
        <v>45383</v>
      </c>
      <c r="D84" s="197"/>
      <c r="M84" s="197"/>
    </row>
    <row r="85" spans="1:13" x14ac:dyDescent="0.25">
      <c r="A85" s="40">
        <f t="shared" si="1"/>
        <v>45413</v>
      </c>
      <c r="D85" s="197"/>
      <c r="M85" s="197"/>
    </row>
    <row r="86" spans="1:13" x14ac:dyDescent="0.25">
      <c r="A86" s="40">
        <f t="shared" si="1"/>
        <v>45444</v>
      </c>
      <c r="D86" s="197"/>
      <c r="M86" s="197"/>
    </row>
    <row r="87" spans="1:13" x14ac:dyDescent="0.25">
      <c r="A87" s="40">
        <f t="shared" si="1"/>
        <v>45474</v>
      </c>
      <c r="D87" s="197"/>
      <c r="M87" s="197"/>
    </row>
    <row r="88" spans="1:13" x14ac:dyDescent="0.25">
      <c r="A88" s="40">
        <f t="shared" si="1"/>
        <v>45505</v>
      </c>
      <c r="D88" s="197"/>
      <c r="M88" s="197"/>
    </row>
    <row r="89" spans="1:13" x14ac:dyDescent="0.25">
      <c r="A89" s="40">
        <f t="shared" si="1"/>
        <v>45536</v>
      </c>
      <c r="D89" s="197"/>
      <c r="M89" s="197"/>
    </row>
    <row r="90" spans="1:13" x14ac:dyDescent="0.25">
      <c r="A90" s="40">
        <f t="shared" si="1"/>
        <v>45566</v>
      </c>
      <c r="D90" s="197"/>
      <c r="M90" s="197"/>
    </row>
    <row r="91" spans="1:13" x14ac:dyDescent="0.25">
      <c r="A91" s="40">
        <f t="shared" si="1"/>
        <v>45597</v>
      </c>
      <c r="D91" s="197"/>
      <c r="M91" s="197"/>
    </row>
    <row r="92" spans="1:13" x14ac:dyDescent="0.25">
      <c r="A92" s="40">
        <f t="shared" si="1"/>
        <v>45627</v>
      </c>
      <c r="D92" s="197"/>
      <c r="M92" s="197"/>
    </row>
    <row r="93" spans="1:13" x14ac:dyDescent="0.25">
      <c r="A93" s="40"/>
      <c r="D93" s="197"/>
      <c r="M93" s="197"/>
    </row>
    <row r="94" spans="1:13" x14ac:dyDescent="0.25">
      <c r="A94" s="40"/>
      <c r="D94" s="197"/>
      <c r="M94" s="197"/>
    </row>
    <row r="95" spans="1:13" x14ac:dyDescent="0.25">
      <c r="A95" s="40"/>
      <c r="D95" s="197"/>
      <c r="M95" s="197"/>
    </row>
    <row r="96" spans="1:13" x14ac:dyDescent="0.25">
      <c r="A96" s="40"/>
      <c r="D96" s="197"/>
      <c r="M96" s="197"/>
    </row>
    <row r="97" spans="1:13" x14ac:dyDescent="0.25">
      <c r="A97" s="40"/>
      <c r="D97" s="197"/>
      <c r="M97" s="197"/>
    </row>
    <row r="98" spans="1:13" x14ac:dyDescent="0.25">
      <c r="A98" s="40"/>
      <c r="D98" s="197"/>
      <c r="M98" s="197"/>
    </row>
    <row r="99" spans="1:13" x14ac:dyDescent="0.25">
      <c r="A99" s="40"/>
      <c r="D99" s="197"/>
      <c r="M99" s="197"/>
    </row>
    <row r="100" spans="1:13" x14ac:dyDescent="0.25">
      <c r="A100" s="40"/>
      <c r="D100" s="197"/>
      <c r="M100" s="197"/>
    </row>
    <row r="101" spans="1:13" x14ac:dyDescent="0.25">
      <c r="A101" s="40"/>
      <c r="D101" s="197"/>
      <c r="M101" s="197"/>
    </row>
    <row r="102" spans="1:13" x14ac:dyDescent="0.25">
      <c r="A102" s="40"/>
      <c r="D102" s="197"/>
      <c r="M102" s="197"/>
    </row>
    <row r="103" spans="1:13" x14ac:dyDescent="0.25">
      <c r="A103" s="40"/>
      <c r="D103" s="197"/>
      <c r="M103" s="197"/>
    </row>
    <row r="104" spans="1:13" x14ac:dyDescent="0.25">
      <c r="A104" s="40"/>
      <c r="D104" s="197"/>
      <c r="M104" s="197"/>
    </row>
    <row r="105" spans="1:13" x14ac:dyDescent="0.25">
      <c r="A105" s="40"/>
      <c r="D105" s="197"/>
      <c r="M105" s="197"/>
    </row>
    <row r="106" spans="1:13" x14ac:dyDescent="0.25">
      <c r="A106" s="40"/>
      <c r="D106" s="197"/>
      <c r="M106" s="197"/>
    </row>
    <row r="107" spans="1:13" x14ac:dyDescent="0.25">
      <c r="A107" s="40"/>
      <c r="D107" s="197"/>
      <c r="M107" s="197"/>
    </row>
    <row r="108" spans="1:13" x14ac:dyDescent="0.25">
      <c r="A108" s="40"/>
      <c r="D108" s="197"/>
      <c r="M108" s="197"/>
    </row>
    <row r="109" spans="1:13" x14ac:dyDescent="0.25">
      <c r="A109" s="40"/>
      <c r="D109" s="197"/>
      <c r="M109" s="197"/>
    </row>
    <row r="110" spans="1:13" x14ac:dyDescent="0.25">
      <c r="A110" s="40"/>
      <c r="D110" s="197"/>
      <c r="M110" s="197"/>
    </row>
    <row r="111" spans="1:13" x14ac:dyDescent="0.25">
      <c r="A111" s="40"/>
      <c r="D111" s="197"/>
      <c r="M111" s="197"/>
    </row>
    <row r="112" spans="1:13" x14ac:dyDescent="0.25">
      <c r="A112" s="40"/>
      <c r="D112" s="197"/>
      <c r="M112" s="197"/>
    </row>
    <row r="113" spans="1:13" x14ac:dyDescent="0.25">
      <c r="A113" s="40"/>
      <c r="D113" s="197"/>
      <c r="M113" s="197"/>
    </row>
    <row r="114" spans="1:13" x14ac:dyDescent="0.25">
      <c r="A114" s="40"/>
      <c r="D114" s="197"/>
      <c r="M114" s="197"/>
    </row>
    <row r="115" spans="1:13" x14ac:dyDescent="0.25">
      <c r="A115" s="40"/>
      <c r="D115" s="197"/>
      <c r="M115" s="197"/>
    </row>
    <row r="116" spans="1:13" x14ac:dyDescent="0.25">
      <c r="A116" s="40"/>
      <c r="D116" s="197"/>
      <c r="M116" s="197"/>
    </row>
    <row r="117" spans="1:13" x14ac:dyDescent="0.25">
      <c r="A117" s="40"/>
      <c r="D117" s="197"/>
      <c r="M117" s="197"/>
    </row>
    <row r="118" spans="1:13" x14ac:dyDescent="0.25">
      <c r="A118" s="40"/>
      <c r="D118" s="197"/>
    </row>
    <row r="119" spans="1:13" x14ac:dyDescent="0.25">
      <c r="A119" s="40"/>
      <c r="D119" s="197"/>
    </row>
    <row r="120" spans="1:13" x14ac:dyDescent="0.25">
      <c r="A120" s="40"/>
      <c r="D120" s="197"/>
    </row>
    <row r="121" spans="1:13" x14ac:dyDescent="0.25">
      <c r="A121" s="40"/>
      <c r="D121" s="197"/>
    </row>
    <row r="122" spans="1:13" x14ac:dyDescent="0.25">
      <c r="A122" s="40"/>
    </row>
    <row r="123" spans="1:13" x14ac:dyDescent="0.25">
      <c r="A123" s="40"/>
    </row>
    <row r="124" spans="1:13" x14ac:dyDescent="0.25">
      <c r="A124" s="40"/>
    </row>
    <row r="125" spans="1:13" x14ac:dyDescent="0.25">
      <c r="A125" s="40"/>
    </row>
    <row r="126" spans="1:13" x14ac:dyDescent="0.25">
      <c r="A126" s="40"/>
    </row>
    <row r="127" spans="1:13" x14ac:dyDescent="0.25">
      <c r="A127" s="40"/>
    </row>
    <row r="128" spans="1:13" x14ac:dyDescent="0.25">
      <c r="A128" s="40"/>
    </row>
    <row r="129" spans="1:1" x14ac:dyDescent="0.25">
      <c r="A129" s="40"/>
    </row>
    <row r="130" spans="1:1" x14ac:dyDescent="0.25">
      <c r="A130" s="40"/>
    </row>
    <row r="131" spans="1:1" x14ac:dyDescent="0.25">
      <c r="A131" s="40"/>
    </row>
    <row r="132" spans="1:1" x14ac:dyDescent="0.25">
      <c r="A132" s="40"/>
    </row>
    <row r="133" spans="1:1" x14ac:dyDescent="0.25">
      <c r="A133" s="40"/>
    </row>
    <row r="134" spans="1:1" x14ac:dyDescent="0.25">
      <c r="A134" s="40"/>
    </row>
    <row r="135" spans="1:1" x14ac:dyDescent="0.25">
      <c r="A135" s="40"/>
    </row>
    <row r="136" spans="1:1" x14ac:dyDescent="0.25">
      <c r="A136" s="40"/>
    </row>
    <row r="137" spans="1:1" x14ac:dyDescent="0.25">
      <c r="A137" s="40"/>
    </row>
    <row r="138" spans="1:1" x14ac:dyDescent="0.25">
      <c r="A138" s="40"/>
    </row>
    <row r="139" spans="1:1" x14ac:dyDescent="0.25">
      <c r="A139" s="40"/>
    </row>
    <row r="140" spans="1:1" x14ac:dyDescent="0.25">
      <c r="A140" s="40"/>
    </row>
    <row r="141" spans="1:1" x14ac:dyDescent="0.25">
      <c r="A141" s="40"/>
    </row>
    <row r="142" spans="1:1" x14ac:dyDescent="0.25">
      <c r="A142" s="40"/>
    </row>
    <row r="143" spans="1:1" x14ac:dyDescent="0.25">
      <c r="A143" s="40"/>
    </row>
    <row r="144" spans="1:1" x14ac:dyDescent="0.25">
      <c r="A144" s="40"/>
    </row>
    <row r="145" spans="1:1" x14ac:dyDescent="0.25">
      <c r="A145" s="40"/>
    </row>
    <row r="146" spans="1:1" x14ac:dyDescent="0.25">
      <c r="A146" s="40"/>
    </row>
    <row r="147" spans="1:1" x14ac:dyDescent="0.25">
      <c r="A147" s="40"/>
    </row>
    <row r="148" spans="1:1" x14ac:dyDescent="0.25">
      <c r="A148" s="40"/>
    </row>
    <row r="149" spans="1:1" x14ac:dyDescent="0.25">
      <c r="A149" s="40"/>
    </row>
    <row r="150" spans="1:1" x14ac:dyDescent="0.25">
      <c r="A150" s="40"/>
    </row>
    <row r="151" spans="1:1" x14ac:dyDescent="0.25">
      <c r="A151" s="40"/>
    </row>
    <row r="152" spans="1:1" x14ac:dyDescent="0.25">
      <c r="A152" s="40"/>
    </row>
    <row r="153" spans="1:1" x14ac:dyDescent="0.25">
      <c r="A153" s="40"/>
    </row>
    <row r="154" spans="1:1" x14ac:dyDescent="0.25">
      <c r="A154" s="40"/>
    </row>
    <row r="155" spans="1:1" x14ac:dyDescent="0.25">
      <c r="A155" s="40"/>
    </row>
    <row r="156" spans="1:1" x14ac:dyDescent="0.25">
      <c r="A156" s="40"/>
    </row>
    <row r="157" spans="1:1" x14ac:dyDescent="0.25">
      <c r="A157" s="40"/>
    </row>
    <row r="158" spans="1:1" x14ac:dyDescent="0.25">
      <c r="A158" s="40"/>
    </row>
    <row r="159" spans="1:1" x14ac:dyDescent="0.25">
      <c r="A159" s="40"/>
    </row>
    <row r="160" spans="1:1" x14ac:dyDescent="0.25">
      <c r="A160" s="40"/>
    </row>
    <row r="161" spans="1:1" x14ac:dyDescent="0.25">
      <c r="A161" s="40"/>
    </row>
  </sheetData>
  <sheetProtection algorithmName="SHA-512" hashValue="VEWopOAauEwbNP3QGOWJn5a18WRXGVCivLaUCAd5z/w7qTPKzXKa0jiwQBBeXCBu5xpXMNKGy9U/4cr/ABKtcA==" saltValue="ZdhZmhWaR5x+B9yZombhmA==" spinCount="100000" sheet="1" formatRows="0" insertColumns="0" insertRows="0" insertHyperlinks="0" deleteColumns="0" deleteRows="0" sort="0" autoFilter="0"/>
  <sortState xmlns:xlrd2="http://schemas.microsoft.com/office/spreadsheetml/2017/richdata2" ref="C67:D121">
    <sortCondition descending="1" ref="D67:D121"/>
  </sortState>
  <mergeCells count="2">
    <mergeCell ref="AT6:BF6"/>
    <mergeCell ref="AT7:BF7"/>
  </mergeCells>
  <hyperlinks>
    <hyperlink ref="P5" r:id="rId1" xr:uid="{1AA71FE9-55EF-4CF9-9467-F4C2915FD950}"/>
    <hyperlink ref="N5" r:id="rId2" xr:uid="{AB706020-6FDE-438F-BADB-53153524F542}"/>
    <hyperlink ref="L5" r:id="rId3" xr:uid="{66615FDD-FC89-474D-BB02-C186EC825616}"/>
    <hyperlink ref="O5" r:id="rId4" xr:uid="{DD83C736-8700-44DF-8B40-04D3F7000D88}"/>
    <hyperlink ref="U5" r:id="rId5" xr:uid="{B30912BB-2A93-49AB-BC1A-AA3654E96075}"/>
    <hyperlink ref="R5" r:id="rId6" xr:uid="{61835880-328D-4AF6-8475-D10D05955B80}"/>
    <hyperlink ref="X5" r:id="rId7" xr:uid="{D970FFDB-CF31-425F-BD0D-28A8DDF2413A}"/>
    <hyperlink ref="AE5" r:id="rId8" xr:uid="{91A33DB7-C839-401A-AD2F-7038BC807DC7}"/>
    <hyperlink ref="AF5" r:id="rId9" xr:uid="{1BDB47C2-11CF-4231-8829-FACD3791FBE7}"/>
    <hyperlink ref="G5" r:id="rId10" xr:uid="{F6FA4C8A-8E02-4CD8-BD7C-D5E47D658A94}"/>
    <hyperlink ref="E5" r:id="rId11" location="Tableau" xr:uid="{136D3E1B-29C5-4924-B993-E6694B35D48C}"/>
    <hyperlink ref="F5" r:id="rId12" xr:uid="{41251DC3-04EE-4448-A4CB-BE3FBDC58FB8}"/>
    <hyperlink ref="AO5" r:id="rId13" xr:uid="{C14F3170-0173-4B55-8791-298BEA384197}"/>
    <hyperlink ref="I5" r:id="rId14" xr:uid="{E21DA67A-8DC7-4D4B-B733-9DE79E80A4BF}"/>
    <hyperlink ref="H5" r:id="rId15" xr:uid="{5662B3D7-600F-4DFA-9E65-F58D859E7B06}"/>
    <hyperlink ref="Y5" r:id="rId16" xr:uid="{1098FE54-50EE-4ACA-A4A2-199C34437A38}"/>
    <hyperlink ref="AP5" r:id="rId17" display="Collecte, traitement et élimination des déchets;récupération de matériaux" xr:uid="{D0D0653D-CD66-457A-92B4-0F7C32E97A2E}"/>
    <hyperlink ref="M5" r:id="rId18" xr:uid="{AEDDE107-8626-49C6-A7CC-60D49847C35F}"/>
    <hyperlink ref="Q5" r:id="rId19" xr:uid="{A03C8DFB-09EA-429B-86FC-146BEEBBBD63}"/>
    <hyperlink ref="S5" r:id="rId20" xr:uid="{0EC10E9E-E5C2-4FBC-8B37-3A235356DF68}"/>
    <hyperlink ref="V5" r:id="rId21" xr:uid="{75021838-CE84-4BA3-9EC0-BC6FA3719CB7}"/>
    <hyperlink ref="W5" r:id="rId22" xr:uid="{70F31D27-BDFC-4C01-BB3B-0B99B84A8AD7}"/>
    <hyperlink ref="AB5" r:id="rId23" xr:uid="{124DAAD8-DE25-4B0D-A77A-351C3326746B}"/>
    <hyperlink ref="AA5" r:id="rId24" xr:uid="{C9A492BC-1CE0-4F38-BE16-B6DB644A0755}"/>
    <hyperlink ref="AC5" r:id="rId25" xr:uid="{B30DE352-A05A-4C79-A669-3ECCF40321EB}"/>
    <hyperlink ref="AD5" r:id="rId26" xr:uid="{1409A982-E23E-4C8A-AB30-1636B3D8AD13}"/>
    <hyperlink ref="AH5" r:id="rId27" xr:uid="{9FA87C69-B463-4A8F-87A0-E34F56CE10DF}"/>
    <hyperlink ref="AI5" r:id="rId28" xr:uid="{6ECBFDBE-5F79-41F7-93F6-3CA455A2A51C}"/>
    <hyperlink ref="AG5" r:id="rId29" xr:uid="{56CF297A-9EE3-4040-AE1D-86582C5868DB}"/>
    <hyperlink ref="AM5" r:id="rId30" xr:uid="{63F9879E-CB2A-4037-9621-D1CA0517051D}"/>
    <hyperlink ref="AJ5" r:id="rId31" xr:uid="{93666F7D-A4E6-43ED-BAAA-37CA50A8F755}"/>
    <hyperlink ref="AL5" r:id="rId32" xr:uid="{3D436430-E5A5-48E6-9976-E01ACE8CA229}"/>
    <hyperlink ref="AK5" r:id="rId33" xr:uid="{196B0271-A293-43D7-91E6-CCFA8A2390EB}"/>
    <hyperlink ref="AN5" r:id="rId34" xr:uid="{11E1526F-046F-4DEC-834C-1A6F9603FC87}"/>
    <hyperlink ref="T5" r:id="rId35" xr:uid="{9EF01732-B9A0-4D74-AC75-1BD051B02F02}"/>
    <hyperlink ref="D5" r:id="rId36" display="Indice mensuel du coût horaire du travail révisé - Salaires et charges - Tous salariés - activités spécialisées, scientifiques, techniques (NAF rév. 2 section M)" xr:uid="{15796E36-BE77-4CB3-9238-9CE032C816DA}"/>
    <hyperlink ref="B5" r:id="rId37" display="Poste matériel des index travaux publics" xr:uid="{5A0253A1-0110-470C-B764-A947753FCFBE}"/>
    <hyperlink ref="C5" r:id="rId38" xr:uid="{EBCA7F52-9620-4419-81BB-FB25D55BC6A1}"/>
    <hyperlink ref="J5" r:id="rId39" xr:uid="{AAC1414B-8205-4DB5-A7B4-E7D436FF28EE}"/>
    <hyperlink ref="J4" r:id="rId40" xr:uid="{2075FE2C-6779-4F33-8625-941C367E3CE1}"/>
    <hyperlink ref="Z4" r:id="rId41" xr:uid="{0BB17AEA-F46A-41E5-90D1-122C5AB0C5F5}"/>
    <hyperlink ref="Z5" r:id="rId42" xr:uid="{A5B67927-0988-4851-B88D-CA3A8BA38107}"/>
  </hyperlinks>
  <pageMargins left="0.7" right="0.7" top="0.75" bottom="0.75" header="0.3" footer="0.3"/>
  <pageSetup paperSize="9" orientation="portrait" r:id="rId4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3"/>
  <sheetViews>
    <sheetView workbookViewId="0">
      <selection activeCell="C25" sqref="C25"/>
    </sheetView>
  </sheetViews>
  <sheetFormatPr baseColWidth="10" defaultRowHeight="15" x14ac:dyDescent="0.25"/>
  <cols>
    <col min="1" max="1" width="6.28515625" bestFit="1" customWidth="1"/>
    <col min="2" max="2" width="74.85546875" bestFit="1" customWidth="1"/>
  </cols>
  <sheetData>
    <row r="1" spans="1:2" x14ac:dyDescent="0.25">
      <c r="A1" t="s">
        <v>24</v>
      </c>
      <c r="B1" t="s">
        <v>0</v>
      </c>
    </row>
    <row r="2" spans="1:2" x14ac:dyDescent="0.25">
      <c r="A2" t="s">
        <v>25</v>
      </c>
      <c r="B2" t="s">
        <v>1</v>
      </c>
    </row>
    <row r="3" spans="1:2" x14ac:dyDescent="0.25">
      <c r="A3" t="s">
        <v>26</v>
      </c>
      <c r="B3" t="s">
        <v>2</v>
      </c>
    </row>
    <row r="4" spans="1:2" x14ac:dyDescent="0.25">
      <c r="A4" t="s">
        <v>27</v>
      </c>
      <c r="B4" t="s">
        <v>3</v>
      </c>
    </row>
    <row r="5" spans="1:2" x14ac:dyDescent="0.25">
      <c r="A5" t="s">
        <v>28</v>
      </c>
      <c r="B5" t="s">
        <v>4</v>
      </c>
    </row>
    <row r="6" spans="1:2" x14ac:dyDescent="0.25">
      <c r="A6" t="s">
        <v>29</v>
      </c>
      <c r="B6" t="s">
        <v>5</v>
      </c>
    </row>
    <row r="7" spans="1:2" x14ac:dyDescent="0.25">
      <c r="A7" t="s">
        <v>30</v>
      </c>
      <c r="B7" t="s">
        <v>6</v>
      </c>
    </row>
    <row r="8" spans="1:2" x14ac:dyDescent="0.25">
      <c r="A8" t="s">
        <v>31</v>
      </c>
      <c r="B8" t="s">
        <v>7</v>
      </c>
    </row>
    <row r="9" spans="1:2" x14ac:dyDescent="0.25">
      <c r="A9" t="s">
        <v>32</v>
      </c>
      <c r="B9" t="s">
        <v>8</v>
      </c>
    </row>
    <row r="10" spans="1:2" x14ac:dyDescent="0.25">
      <c r="A10" t="s">
        <v>33</v>
      </c>
      <c r="B10" t="s">
        <v>9</v>
      </c>
    </row>
    <row r="11" spans="1:2" x14ac:dyDescent="0.25">
      <c r="A11" t="s">
        <v>34</v>
      </c>
      <c r="B11" t="s">
        <v>10</v>
      </c>
    </row>
    <row r="12" spans="1:2" x14ac:dyDescent="0.25">
      <c r="A12" t="s">
        <v>35</v>
      </c>
      <c r="B12" t="s">
        <v>11</v>
      </c>
    </row>
    <row r="13" spans="1:2" x14ac:dyDescent="0.25">
      <c r="A13" t="s">
        <v>36</v>
      </c>
      <c r="B13" t="s">
        <v>12</v>
      </c>
    </row>
    <row r="14" spans="1:2" x14ac:dyDescent="0.25">
      <c r="A14" t="s">
        <v>37</v>
      </c>
      <c r="B14" t="s">
        <v>13</v>
      </c>
    </row>
    <row r="15" spans="1:2" x14ac:dyDescent="0.25">
      <c r="A15" t="s">
        <v>38</v>
      </c>
      <c r="B15" t="s">
        <v>14</v>
      </c>
    </row>
    <row r="16" spans="1:2" x14ac:dyDescent="0.25">
      <c r="A16" t="s">
        <v>39</v>
      </c>
      <c r="B16" t="s">
        <v>15</v>
      </c>
    </row>
    <row r="17" spans="1:2" x14ac:dyDescent="0.25">
      <c r="A17" t="s">
        <v>40</v>
      </c>
      <c r="B17" t="s">
        <v>16</v>
      </c>
    </row>
    <row r="18" spans="1:2" x14ac:dyDescent="0.25">
      <c r="A18" t="s">
        <v>41</v>
      </c>
      <c r="B18" t="s">
        <v>17</v>
      </c>
    </row>
    <row r="19" spans="1:2" x14ac:dyDescent="0.25">
      <c r="A19" t="s">
        <v>42</v>
      </c>
      <c r="B19" t="s">
        <v>18</v>
      </c>
    </row>
    <row r="20" spans="1:2" x14ac:dyDescent="0.25">
      <c r="A20" t="s">
        <v>43</v>
      </c>
      <c r="B20" t="s">
        <v>19</v>
      </c>
    </row>
    <row r="21" spans="1:2" x14ac:dyDescent="0.25">
      <c r="A21" t="s">
        <v>44</v>
      </c>
      <c r="B21" t="s">
        <v>20</v>
      </c>
    </row>
    <row r="22" spans="1:2" x14ac:dyDescent="0.25">
      <c r="A22" t="s">
        <v>45</v>
      </c>
      <c r="B22" t="s">
        <v>21</v>
      </c>
    </row>
    <row r="23" spans="1:2" x14ac:dyDescent="0.25">
      <c r="A23" t="s">
        <v>46</v>
      </c>
      <c r="B23" t="s">
        <v>22</v>
      </c>
    </row>
  </sheetData>
  <sheetProtection algorithmName="SHA-512" hashValue="Iei6GOsmbQ2teCpYgRpF1jLKBPf9yhmEZzhcbMG5sINxZUt96fs5faM2IMn/mUq9Enj2AlQZJL0W1qVpcIpNrw==" saltValue="fpH/+4qKnwN6lhprtGHHR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31"/>
  <sheetViews>
    <sheetView topLeftCell="A5" workbookViewId="0">
      <selection activeCell="C25" sqref="C25"/>
    </sheetView>
  </sheetViews>
  <sheetFormatPr baseColWidth="10" defaultRowHeight="15" x14ac:dyDescent="0.25"/>
  <sheetData>
    <row r="1" spans="1:44" s="22" customFormat="1" x14ac:dyDescent="0.25">
      <c r="D1" s="22" t="s">
        <v>185</v>
      </c>
      <c r="E1" s="22" t="s">
        <v>186</v>
      </c>
      <c r="F1" s="22" t="s">
        <v>187</v>
      </c>
      <c r="G1" s="22" t="s">
        <v>187</v>
      </c>
      <c r="H1" s="22" t="s">
        <v>188</v>
      </c>
      <c r="I1" s="22" t="s">
        <v>189</v>
      </c>
      <c r="J1" s="22" t="s">
        <v>186</v>
      </c>
      <c r="K1" s="22" t="s">
        <v>187</v>
      </c>
      <c r="L1" s="22" t="s">
        <v>187</v>
      </c>
      <c r="M1" s="22" t="s">
        <v>187</v>
      </c>
      <c r="N1" s="22" t="s">
        <v>190</v>
      </c>
      <c r="O1" s="22" t="s">
        <v>190</v>
      </c>
      <c r="P1" s="22" t="s">
        <v>190</v>
      </c>
      <c r="Q1" s="22" t="s">
        <v>190</v>
      </c>
      <c r="R1" s="22" t="s">
        <v>190</v>
      </c>
      <c r="S1" s="22" t="s">
        <v>190</v>
      </c>
      <c r="T1" s="22" t="s">
        <v>190</v>
      </c>
      <c r="U1" s="22" t="s">
        <v>190</v>
      </c>
      <c r="V1" s="22" t="s">
        <v>190</v>
      </c>
      <c r="W1" s="22" t="s">
        <v>190</v>
      </c>
      <c r="X1" s="22" t="s">
        <v>190</v>
      </c>
      <c r="Y1" s="22" t="s">
        <v>190</v>
      </c>
      <c r="Z1" s="22" t="s">
        <v>190</v>
      </c>
      <c r="AA1" s="22" t="s">
        <v>190</v>
      </c>
      <c r="AB1" s="22" t="s">
        <v>190</v>
      </c>
      <c r="AC1" s="22" t="s">
        <v>190</v>
      </c>
      <c r="AD1" s="22" t="s">
        <v>190</v>
      </c>
      <c r="AE1" s="22" t="s">
        <v>190</v>
      </c>
      <c r="AF1" s="22" t="s">
        <v>190</v>
      </c>
      <c r="AG1" s="22" t="s">
        <v>190</v>
      </c>
      <c r="AH1" s="22" t="s">
        <v>190</v>
      </c>
      <c r="AI1" s="22" t="s">
        <v>190</v>
      </c>
      <c r="AJ1" s="22" t="s">
        <v>190</v>
      </c>
      <c r="AK1" s="22" t="s">
        <v>190</v>
      </c>
      <c r="AL1" s="22" t="s">
        <v>190</v>
      </c>
      <c r="AM1" s="22" t="s">
        <v>190</v>
      </c>
      <c r="AN1" s="22" t="s">
        <v>190</v>
      </c>
      <c r="AO1" s="22" t="s">
        <v>190</v>
      </c>
      <c r="AP1" s="22" t="s">
        <v>188</v>
      </c>
      <c r="AQ1" s="22" t="s">
        <v>191</v>
      </c>
      <c r="AR1" s="22" t="s">
        <v>191</v>
      </c>
    </row>
    <row r="2" spans="1:44" x14ac:dyDescent="0.25">
      <c r="B2" t="s">
        <v>24</v>
      </c>
      <c r="D2" t="s">
        <v>134</v>
      </c>
      <c r="E2" t="s">
        <v>135</v>
      </c>
      <c r="F2" t="s">
        <v>137</v>
      </c>
      <c r="G2" t="s">
        <v>138</v>
      </c>
      <c r="H2" t="s">
        <v>139</v>
      </c>
      <c r="I2" t="s">
        <v>140</v>
      </c>
      <c r="J2" t="s">
        <v>136</v>
      </c>
      <c r="K2" t="s">
        <v>141</v>
      </c>
      <c r="L2" s="94" t="s">
        <v>294</v>
      </c>
      <c r="M2" t="s">
        <v>64</v>
      </c>
      <c r="N2" t="s">
        <v>142</v>
      </c>
      <c r="O2" t="s">
        <v>143</v>
      </c>
      <c r="P2" t="s">
        <v>144</v>
      </c>
      <c r="Q2" t="s">
        <v>145</v>
      </c>
      <c r="R2" t="s">
        <v>146</v>
      </c>
      <c r="S2" t="s">
        <v>147</v>
      </c>
      <c r="T2" t="s">
        <v>148</v>
      </c>
      <c r="U2" t="s">
        <v>286</v>
      </c>
      <c r="V2" t="s">
        <v>149</v>
      </c>
      <c r="W2" t="s">
        <v>150</v>
      </c>
      <c r="X2" t="s">
        <v>151</v>
      </c>
      <c r="Y2" t="s">
        <v>152</v>
      </c>
      <c r="Z2" t="s">
        <v>153</v>
      </c>
      <c r="AA2" t="s">
        <v>154</v>
      </c>
      <c r="AB2" t="s">
        <v>298</v>
      </c>
      <c r="AC2" t="s">
        <v>291</v>
      </c>
      <c r="AD2" t="s">
        <v>156</v>
      </c>
      <c r="AE2" t="s">
        <v>157</v>
      </c>
      <c r="AF2" t="s">
        <v>158</v>
      </c>
      <c r="AG2" t="s">
        <v>159</v>
      </c>
      <c r="AH2" t="s">
        <v>160</v>
      </c>
      <c r="AI2" t="s">
        <v>161</v>
      </c>
      <c r="AJ2" t="s">
        <v>162</v>
      </c>
      <c r="AK2" t="s">
        <v>163</v>
      </c>
      <c r="AL2" t="s">
        <v>164</v>
      </c>
      <c r="AM2" t="s">
        <v>165</v>
      </c>
      <c r="AN2" t="s">
        <v>166</v>
      </c>
      <c r="AO2" t="s">
        <v>167</v>
      </c>
      <c r="AP2" t="s">
        <v>168</v>
      </c>
      <c r="AQ2" t="s">
        <v>169</v>
      </c>
      <c r="AR2" t="s">
        <v>170</v>
      </c>
    </row>
    <row r="3" spans="1:44" x14ac:dyDescent="0.25">
      <c r="D3" s="94" t="s">
        <v>56</v>
      </c>
      <c r="E3" s="94" t="s">
        <v>57</v>
      </c>
      <c r="F3" s="94" t="s">
        <v>280</v>
      </c>
      <c r="G3" s="94" t="s">
        <v>59</v>
      </c>
      <c r="H3" s="94" t="s">
        <v>60</v>
      </c>
      <c r="I3" s="94" t="s">
        <v>61</v>
      </c>
      <c r="J3" s="94" t="s">
        <v>58</v>
      </c>
      <c r="K3" s="94" t="s">
        <v>62</v>
      </c>
      <c r="L3" s="94" t="s">
        <v>296</v>
      </c>
      <c r="M3" s="94" t="s">
        <v>64</v>
      </c>
      <c r="N3" s="94" t="s">
        <v>65</v>
      </c>
      <c r="O3" s="94" t="s">
        <v>66</v>
      </c>
      <c r="P3" s="94" t="s">
        <v>67</v>
      </c>
      <c r="Q3" s="94" t="s">
        <v>68</v>
      </c>
      <c r="R3" s="94" t="s">
        <v>69</v>
      </c>
      <c r="S3" s="94" t="s">
        <v>70</v>
      </c>
      <c r="T3" s="94" t="s">
        <v>71</v>
      </c>
      <c r="U3" s="94" t="s">
        <v>284</v>
      </c>
      <c r="V3" s="94" t="s">
        <v>73</v>
      </c>
      <c r="W3" s="94" t="s">
        <v>74</v>
      </c>
      <c r="X3" s="94" t="s">
        <v>75</v>
      </c>
      <c r="Y3" s="94" t="s">
        <v>76</v>
      </c>
      <c r="Z3" s="94" t="s">
        <v>77</v>
      </c>
      <c r="AA3" s="94" t="s">
        <v>78</v>
      </c>
      <c r="AB3" s="36" t="s">
        <v>300</v>
      </c>
      <c r="AC3" s="94" t="s">
        <v>290</v>
      </c>
      <c r="AD3" s="94" t="s">
        <v>81</v>
      </c>
      <c r="AE3" s="94" t="s">
        <v>82</v>
      </c>
      <c r="AF3" s="94" t="s">
        <v>83</v>
      </c>
      <c r="AG3" s="94" t="s">
        <v>84</v>
      </c>
      <c r="AH3" s="94" t="s">
        <v>85</v>
      </c>
      <c r="AI3" s="94" t="s">
        <v>86</v>
      </c>
      <c r="AJ3" s="94" t="s">
        <v>87</v>
      </c>
      <c r="AK3" s="94" t="s">
        <v>88</v>
      </c>
      <c r="AL3" s="94" t="s">
        <v>89</v>
      </c>
      <c r="AM3" t="s">
        <v>90</v>
      </c>
      <c r="AN3" t="s">
        <v>91</v>
      </c>
      <c r="AO3" s="94" t="s">
        <v>92</v>
      </c>
      <c r="AP3" s="94" t="s">
        <v>93</v>
      </c>
      <c r="AQ3" s="94" t="s">
        <v>94</v>
      </c>
      <c r="AR3" s="94" t="s">
        <v>95</v>
      </c>
    </row>
    <row r="4" spans="1:44" x14ac:dyDescent="0.25">
      <c r="A4" t="s">
        <v>24</v>
      </c>
      <c r="B4" s="100"/>
      <c r="C4" s="100"/>
      <c r="D4" s="101"/>
      <c r="E4" s="101"/>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row>
    <row r="5" spans="1:44" x14ac:dyDescent="0.25">
      <c r="A5" t="s">
        <v>25</v>
      </c>
      <c r="B5" s="95">
        <v>0.1</v>
      </c>
      <c r="C5" s="96">
        <f>SUM(D5:AR5)</f>
        <v>1.0000000000000002</v>
      </c>
      <c r="D5" s="97">
        <v>0.15</v>
      </c>
      <c r="E5" s="97">
        <v>0.55000000000000004</v>
      </c>
      <c r="F5" s="97"/>
      <c r="G5" s="96"/>
      <c r="H5" s="96">
        <v>0.01</v>
      </c>
      <c r="I5" s="96">
        <v>0.01</v>
      </c>
      <c r="J5" s="97"/>
      <c r="K5" s="96">
        <v>0.01</v>
      </c>
      <c r="L5" s="96"/>
      <c r="M5" s="96"/>
      <c r="N5" s="96">
        <v>0.04</v>
      </c>
      <c r="O5" s="96">
        <v>0.02</v>
      </c>
      <c r="P5" s="96">
        <v>0.12</v>
      </c>
      <c r="Q5" s="96">
        <v>0.09</v>
      </c>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row>
    <row r="6" spans="1:44" x14ac:dyDescent="0.25">
      <c r="A6" s="98" t="s">
        <v>26</v>
      </c>
      <c r="B6" s="95">
        <v>0.19</v>
      </c>
      <c r="C6" s="96">
        <f t="shared" ref="C6:C26" si="0">SUM(D6:AR6)</f>
        <v>1.0000000000000002</v>
      </c>
      <c r="D6" s="97">
        <v>0.27</v>
      </c>
      <c r="E6" s="97">
        <v>0.28999999999999998</v>
      </c>
      <c r="F6" s="97">
        <v>7.0000000000000007E-2</v>
      </c>
      <c r="G6" s="96">
        <v>0.01</v>
      </c>
      <c r="H6" s="96">
        <v>0.02</v>
      </c>
      <c r="I6" s="96">
        <v>0.05</v>
      </c>
      <c r="J6" s="97">
        <v>0.04</v>
      </c>
      <c r="K6" s="96"/>
      <c r="L6" s="96"/>
      <c r="M6" s="96"/>
      <c r="N6" s="96"/>
      <c r="O6" s="96"/>
      <c r="P6" s="96"/>
      <c r="Q6" s="96"/>
      <c r="R6" s="96">
        <v>0.12</v>
      </c>
      <c r="S6" s="96">
        <v>0.03</v>
      </c>
      <c r="T6" s="96">
        <v>0.06</v>
      </c>
      <c r="U6" s="96">
        <v>0.01</v>
      </c>
      <c r="V6" s="96"/>
      <c r="W6" s="96"/>
      <c r="X6" s="96"/>
      <c r="Y6" s="96"/>
      <c r="Z6" s="96"/>
      <c r="AA6" s="96"/>
      <c r="AB6" s="96"/>
      <c r="AC6" s="96"/>
      <c r="AD6" s="96"/>
      <c r="AE6" s="96"/>
      <c r="AF6" s="96"/>
      <c r="AG6" s="96"/>
      <c r="AH6" s="96"/>
      <c r="AI6" s="96"/>
      <c r="AJ6" s="96"/>
      <c r="AK6" s="96"/>
      <c r="AL6" s="96"/>
      <c r="AM6" s="96"/>
      <c r="AN6" s="96"/>
      <c r="AO6" s="96"/>
      <c r="AP6" s="96"/>
      <c r="AQ6" s="96">
        <v>0.03</v>
      </c>
      <c r="AR6" s="96"/>
    </row>
    <row r="7" spans="1:44" x14ac:dyDescent="0.25">
      <c r="A7" s="98" t="s">
        <v>27</v>
      </c>
      <c r="B7" s="95">
        <v>2E-3</v>
      </c>
      <c r="C7" s="96">
        <f t="shared" si="0"/>
        <v>1</v>
      </c>
      <c r="D7" s="97">
        <v>0.23</v>
      </c>
      <c r="E7" s="97">
        <v>0.18</v>
      </c>
      <c r="F7" s="97">
        <v>7.0000000000000007E-2</v>
      </c>
      <c r="G7" s="96"/>
      <c r="H7" s="96">
        <v>0.03</v>
      </c>
      <c r="I7" s="96"/>
      <c r="J7" s="97">
        <v>0.09</v>
      </c>
      <c r="K7" s="96"/>
      <c r="L7" s="96"/>
      <c r="M7" s="96"/>
      <c r="N7" s="96"/>
      <c r="O7" s="96"/>
      <c r="P7" s="96"/>
      <c r="Q7" s="96"/>
      <c r="R7" s="96"/>
      <c r="S7" s="96"/>
      <c r="T7" s="96"/>
      <c r="U7" s="96">
        <v>0.4</v>
      </c>
      <c r="V7" s="96"/>
      <c r="W7" s="96"/>
      <c r="X7" s="96"/>
      <c r="Y7" s="96"/>
      <c r="Z7" s="96"/>
      <c r="AA7" s="96"/>
      <c r="AB7" s="96"/>
      <c r="AC7" s="96"/>
      <c r="AD7" s="96"/>
      <c r="AE7" s="96"/>
      <c r="AF7" s="96"/>
      <c r="AG7" s="96"/>
      <c r="AH7" s="96"/>
      <c r="AI7" s="96"/>
      <c r="AJ7" s="96"/>
      <c r="AK7" s="96"/>
      <c r="AL7" s="96"/>
      <c r="AM7" s="96"/>
      <c r="AN7" s="96"/>
      <c r="AO7" s="96"/>
      <c r="AP7" s="96"/>
      <c r="AQ7" s="96"/>
      <c r="AR7" s="96"/>
    </row>
    <row r="8" spans="1:44" x14ac:dyDescent="0.25">
      <c r="A8" t="s">
        <v>28</v>
      </c>
      <c r="B8" s="95">
        <v>0.04</v>
      </c>
      <c r="C8" s="96">
        <f t="shared" si="0"/>
        <v>1</v>
      </c>
      <c r="D8" s="97">
        <v>0.16</v>
      </c>
      <c r="E8" s="97">
        <v>0.44</v>
      </c>
      <c r="F8" s="97">
        <v>0.05</v>
      </c>
      <c r="G8" s="96"/>
      <c r="H8" s="96">
        <v>0.02</v>
      </c>
      <c r="I8" s="96">
        <v>0.03</v>
      </c>
      <c r="J8" s="97"/>
      <c r="K8" s="96"/>
      <c r="L8" s="96"/>
      <c r="M8" s="96"/>
      <c r="N8" s="96"/>
      <c r="O8" s="96"/>
      <c r="P8" s="96">
        <v>0.12</v>
      </c>
      <c r="Q8" s="96">
        <v>0.1</v>
      </c>
      <c r="R8" s="96">
        <v>0.02</v>
      </c>
      <c r="S8" s="96"/>
      <c r="T8" s="96">
        <v>0.03</v>
      </c>
      <c r="U8" s="96"/>
      <c r="V8" s="96"/>
      <c r="W8" s="96"/>
      <c r="X8" s="96"/>
      <c r="Y8" s="96"/>
      <c r="Z8" s="96"/>
      <c r="AA8" s="96"/>
      <c r="AB8" s="96"/>
      <c r="AC8" s="96"/>
      <c r="AD8" s="96"/>
      <c r="AE8" s="96"/>
      <c r="AF8" s="96"/>
      <c r="AG8" s="96"/>
      <c r="AH8" s="96"/>
      <c r="AI8" s="96"/>
      <c r="AJ8" s="96"/>
      <c r="AK8" s="96"/>
      <c r="AL8" s="96"/>
      <c r="AM8" s="96"/>
      <c r="AN8" s="96"/>
      <c r="AO8" s="96"/>
      <c r="AP8" s="96"/>
      <c r="AQ8" s="96"/>
      <c r="AR8" s="96">
        <v>0.03</v>
      </c>
    </row>
    <row r="9" spans="1:44" x14ac:dyDescent="0.25">
      <c r="A9" t="s">
        <v>29</v>
      </c>
      <c r="B9" s="95">
        <v>1.4999999999999999E-2</v>
      </c>
      <c r="C9" s="96">
        <f t="shared" si="0"/>
        <v>1.0000000000000002</v>
      </c>
      <c r="D9" s="97">
        <v>0.17</v>
      </c>
      <c r="E9" s="97">
        <v>0.39</v>
      </c>
      <c r="F9" s="97">
        <v>0.01</v>
      </c>
      <c r="G9" s="96"/>
      <c r="H9" s="96">
        <v>0.05</v>
      </c>
      <c r="I9" s="96">
        <v>0.01</v>
      </c>
      <c r="J9" s="97"/>
      <c r="K9" s="96">
        <v>0.01</v>
      </c>
      <c r="L9" s="96"/>
      <c r="M9" s="96"/>
      <c r="N9" s="96"/>
      <c r="O9" s="96"/>
      <c r="P9" s="96">
        <v>0.23</v>
      </c>
      <c r="Q9" s="96">
        <v>7.0000000000000007E-2</v>
      </c>
      <c r="R9" s="96"/>
      <c r="S9" s="96"/>
      <c r="T9" s="96"/>
      <c r="U9" s="96">
        <v>0.03</v>
      </c>
      <c r="V9" s="96"/>
      <c r="W9" s="96"/>
      <c r="X9" s="96"/>
      <c r="Y9" s="96"/>
      <c r="Z9" s="96"/>
      <c r="AA9" s="96"/>
      <c r="AB9" s="96"/>
      <c r="AC9" s="96"/>
      <c r="AD9" s="96"/>
      <c r="AE9" s="96"/>
      <c r="AF9" s="96"/>
      <c r="AG9" s="96"/>
      <c r="AH9" s="96"/>
      <c r="AI9" s="96"/>
      <c r="AJ9" s="96"/>
      <c r="AK9" s="96"/>
      <c r="AL9" s="96"/>
      <c r="AM9" s="96"/>
      <c r="AN9" s="96"/>
      <c r="AO9" s="96"/>
      <c r="AP9" s="96"/>
      <c r="AQ9" s="96">
        <v>0.03</v>
      </c>
      <c r="AR9" s="96"/>
    </row>
    <row r="10" spans="1:44" x14ac:dyDescent="0.25">
      <c r="A10" t="s">
        <v>30</v>
      </c>
      <c r="B10" s="95">
        <v>1.4999999999999999E-2</v>
      </c>
      <c r="C10" s="96">
        <f t="shared" si="0"/>
        <v>1.0000000000000002</v>
      </c>
      <c r="D10" s="97">
        <v>0.27</v>
      </c>
      <c r="E10" s="97">
        <v>0.33</v>
      </c>
      <c r="F10" s="97">
        <v>0.01</v>
      </c>
      <c r="G10" s="96"/>
      <c r="H10" s="96">
        <v>0.06</v>
      </c>
      <c r="I10" s="96">
        <v>0.01</v>
      </c>
      <c r="J10" s="97"/>
      <c r="K10" s="96">
        <v>0.02</v>
      </c>
      <c r="L10" s="96"/>
      <c r="M10" s="96"/>
      <c r="N10" s="96"/>
      <c r="O10" s="96"/>
      <c r="P10" s="96">
        <v>0.19</v>
      </c>
      <c r="Q10" s="96">
        <v>0.06</v>
      </c>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v>0.05</v>
      </c>
      <c r="AR10" s="96"/>
    </row>
    <row r="11" spans="1:44" x14ac:dyDescent="0.25">
      <c r="A11" t="s">
        <v>31</v>
      </c>
      <c r="B11" s="95">
        <v>8.9999999999999993E-3</v>
      </c>
      <c r="C11" s="96">
        <f t="shared" si="0"/>
        <v>1</v>
      </c>
      <c r="D11" s="97">
        <v>0.54</v>
      </c>
      <c r="E11" s="97">
        <v>0.2</v>
      </c>
      <c r="F11" s="97">
        <v>0.02</v>
      </c>
      <c r="G11" s="96"/>
      <c r="H11" s="96">
        <v>7.0000000000000007E-2</v>
      </c>
      <c r="I11" s="96"/>
      <c r="J11" s="97"/>
      <c r="K11" s="96"/>
      <c r="M11" s="96">
        <v>0.17</v>
      </c>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row>
    <row r="12" spans="1:44" x14ac:dyDescent="0.25">
      <c r="A12" t="s">
        <v>32</v>
      </c>
      <c r="B12" s="95">
        <v>5.0000000000000001E-3</v>
      </c>
      <c r="C12" s="96">
        <f t="shared" si="0"/>
        <v>1</v>
      </c>
      <c r="D12" s="97">
        <v>0.47</v>
      </c>
      <c r="E12" s="97">
        <v>0.38</v>
      </c>
      <c r="F12" s="97">
        <v>0.12</v>
      </c>
      <c r="G12" s="96"/>
      <c r="H12" s="96">
        <v>0.03</v>
      </c>
      <c r="I12" s="96"/>
      <c r="J12" s="97"/>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row>
    <row r="13" spans="1:44" x14ac:dyDescent="0.25">
      <c r="A13" t="s">
        <v>33</v>
      </c>
      <c r="B13" s="95">
        <v>2E-3</v>
      </c>
      <c r="C13" s="96">
        <f t="shared" si="0"/>
        <v>1</v>
      </c>
      <c r="D13" s="97">
        <v>0.13</v>
      </c>
      <c r="E13" s="97">
        <v>0.2</v>
      </c>
      <c r="F13" s="97">
        <v>0.03</v>
      </c>
      <c r="G13" s="96"/>
      <c r="H13" s="96">
        <v>0.05</v>
      </c>
      <c r="I13" s="96">
        <v>0.02</v>
      </c>
      <c r="J13" s="97"/>
      <c r="K13" s="96"/>
      <c r="L13" s="96"/>
      <c r="M13" s="96"/>
      <c r="N13" s="96"/>
      <c r="O13" s="96"/>
      <c r="P13" s="96">
        <v>0.08</v>
      </c>
      <c r="Q13" s="96">
        <v>0.05</v>
      </c>
      <c r="R13" s="96"/>
      <c r="S13" s="96"/>
      <c r="T13" s="96"/>
      <c r="U13" s="96"/>
      <c r="V13" s="96">
        <v>0.22</v>
      </c>
      <c r="W13" s="96"/>
      <c r="X13" s="96"/>
      <c r="Y13" s="96"/>
      <c r="Z13" s="96"/>
      <c r="AA13" s="96"/>
      <c r="AB13" s="96"/>
      <c r="AC13" s="96"/>
      <c r="AD13" s="96"/>
      <c r="AE13" s="96"/>
      <c r="AF13" s="96"/>
      <c r="AG13" s="96"/>
      <c r="AH13" s="96"/>
      <c r="AI13" s="96"/>
      <c r="AJ13" s="96"/>
      <c r="AK13" s="96"/>
      <c r="AL13" s="96"/>
      <c r="AM13" s="96"/>
      <c r="AN13" s="96">
        <v>0.22</v>
      </c>
      <c r="AO13" s="96"/>
      <c r="AP13" s="96"/>
      <c r="AQ13" s="96"/>
      <c r="AR13" s="96"/>
    </row>
    <row r="14" spans="1:44" x14ac:dyDescent="0.25">
      <c r="A14" t="s">
        <v>34</v>
      </c>
      <c r="B14" s="95">
        <v>0.125</v>
      </c>
      <c r="C14" s="96">
        <f t="shared" si="0"/>
        <v>0.9900000000000001</v>
      </c>
      <c r="D14" s="97">
        <v>0.12</v>
      </c>
      <c r="E14" s="97">
        <v>0.22</v>
      </c>
      <c r="F14" s="97">
        <v>0.04</v>
      </c>
      <c r="G14" s="96">
        <v>0.02</v>
      </c>
      <c r="H14" s="96">
        <v>7.0000000000000007E-2</v>
      </c>
      <c r="I14" s="96">
        <v>0.15</v>
      </c>
      <c r="J14" s="97"/>
      <c r="K14" s="96">
        <v>0.01</v>
      </c>
      <c r="L14" s="96">
        <v>0.01</v>
      </c>
      <c r="M14" s="96"/>
      <c r="N14" s="96">
        <v>0.02</v>
      </c>
      <c r="O14" s="96"/>
      <c r="P14" s="96">
        <v>2.5000000000000001E-2</v>
      </c>
      <c r="Q14" s="96" t="s">
        <v>192</v>
      </c>
      <c r="R14" s="96">
        <v>0.15</v>
      </c>
      <c r="S14" s="96"/>
      <c r="T14" s="96"/>
      <c r="U14" s="96"/>
      <c r="V14" s="96" t="s">
        <v>192</v>
      </c>
      <c r="W14" s="96">
        <v>0.12</v>
      </c>
      <c r="X14" s="96">
        <v>1.4999999999999999E-2</v>
      </c>
      <c r="Y14" s="96">
        <v>0.01</v>
      </c>
      <c r="Z14" s="96">
        <v>0.01</v>
      </c>
      <c r="AA14" s="96"/>
      <c r="AB14" s="96"/>
      <c r="AC14" s="96"/>
      <c r="AD14" s="96"/>
      <c r="AE14" s="96"/>
      <c r="AF14" s="96"/>
      <c r="AG14" s="96"/>
      <c r="AH14" s="96"/>
      <c r="AI14" s="96"/>
      <c r="AJ14" s="96"/>
      <c r="AK14" s="96"/>
      <c r="AL14" s="96"/>
      <c r="AM14" s="96"/>
      <c r="AN14" s="96"/>
      <c r="AO14" s="96"/>
      <c r="AP14" s="96"/>
      <c r="AQ14" s="96"/>
      <c r="AR14" s="96"/>
    </row>
    <row r="15" spans="1:44" x14ac:dyDescent="0.25">
      <c r="A15" t="s">
        <v>35</v>
      </c>
      <c r="B15" s="95">
        <v>0.125</v>
      </c>
      <c r="C15" s="96">
        <f t="shared" si="0"/>
        <v>1</v>
      </c>
      <c r="D15" s="97">
        <v>0.11</v>
      </c>
      <c r="E15" s="97">
        <v>0.14000000000000001</v>
      </c>
      <c r="F15" s="97">
        <v>0.02</v>
      </c>
      <c r="G15" s="96">
        <v>0.02</v>
      </c>
      <c r="H15" s="96">
        <v>0.01</v>
      </c>
      <c r="I15" s="96">
        <v>0.15</v>
      </c>
      <c r="J15" s="97"/>
      <c r="K15" s="96">
        <v>0.01</v>
      </c>
      <c r="L15" s="96">
        <v>0.04</v>
      </c>
      <c r="M15" s="96"/>
      <c r="N15" s="96"/>
      <c r="O15" s="96"/>
      <c r="P15" s="96"/>
      <c r="Q15" s="96"/>
      <c r="R15" s="96">
        <v>0.15</v>
      </c>
      <c r="S15" s="96"/>
      <c r="T15" s="96"/>
      <c r="U15" s="96"/>
      <c r="V15" s="96"/>
      <c r="W15" s="96">
        <v>0.35</v>
      </c>
      <c r="X15" s="96"/>
      <c r="Y15" s="96"/>
      <c r="Z15" s="96"/>
      <c r="AA15" s="96"/>
      <c r="AB15" s="96"/>
      <c r="AC15" s="96"/>
      <c r="AD15" s="96"/>
      <c r="AE15" s="96"/>
      <c r="AF15" s="96"/>
      <c r="AG15" s="96"/>
      <c r="AH15" s="96"/>
      <c r="AI15" s="96"/>
      <c r="AJ15" s="96"/>
      <c r="AK15" s="96"/>
      <c r="AL15" s="96"/>
      <c r="AM15" s="96"/>
      <c r="AN15" s="96"/>
      <c r="AO15" s="96"/>
      <c r="AP15" s="96"/>
      <c r="AQ15" s="96"/>
      <c r="AR15" s="96"/>
    </row>
    <row r="16" spans="1:44" x14ac:dyDescent="0.25">
      <c r="A16" s="99" t="s">
        <v>36</v>
      </c>
      <c r="B16" s="95">
        <v>0.157</v>
      </c>
      <c r="C16" s="96">
        <f t="shared" si="0"/>
        <v>1</v>
      </c>
      <c r="D16" s="97">
        <v>0.22</v>
      </c>
      <c r="E16" s="97">
        <v>0.34</v>
      </c>
      <c r="F16" s="97">
        <v>0.02</v>
      </c>
      <c r="G16" s="96">
        <v>0.01</v>
      </c>
      <c r="H16" s="96">
        <v>0.03</v>
      </c>
      <c r="I16" s="96">
        <v>0.04</v>
      </c>
      <c r="J16" s="97"/>
      <c r="K16" s="96"/>
      <c r="L16" s="96"/>
      <c r="M16" s="96"/>
      <c r="N16" s="96">
        <v>0.09</v>
      </c>
      <c r="O16" s="96"/>
      <c r="P16" s="96"/>
      <c r="Q16" s="96"/>
      <c r="R16" s="96">
        <v>0.11</v>
      </c>
      <c r="S16" s="96"/>
      <c r="T16" s="96"/>
      <c r="U16" s="96"/>
      <c r="V16" s="96"/>
      <c r="W16" s="96"/>
      <c r="X16" s="96"/>
      <c r="Y16" s="96"/>
      <c r="Z16" s="96">
        <v>0.08</v>
      </c>
      <c r="AA16" s="96">
        <v>0.02</v>
      </c>
      <c r="AB16" s="96">
        <v>0.01</v>
      </c>
      <c r="AC16" s="96"/>
      <c r="AD16" s="96"/>
      <c r="AE16" s="96"/>
      <c r="AF16" s="96"/>
      <c r="AG16" s="96"/>
      <c r="AH16" s="96"/>
      <c r="AI16" s="96"/>
      <c r="AJ16" s="96"/>
      <c r="AK16" s="96"/>
      <c r="AL16" s="96"/>
      <c r="AM16" s="96"/>
      <c r="AN16" s="96"/>
      <c r="AO16" s="96"/>
      <c r="AP16" s="96"/>
      <c r="AQ16" s="96"/>
      <c r="AR16" s="96">
        <v>0.03</v>
      </c>
    </row>
    <row r="17" spans="1:44" x14ac:dyDescent="0.25">
      <c r="A17" t="s">
        <v>37</v>
      </c>
      <c r="B17" s="95">
        <v>0.02</v>
      </c>
      <c r="C17" s="96">
        <f t="shared" si="0"/>
        <v>1</v>
      </c>
      <c r="D17" s="97">
        <v>0.25</v>
      </c>
      <c r="E17" s="97">
        <v>0.43</v>
      </c>
      <c r="F17" s="97">
        <v>0.02</v>
      </c>
      <c r="G17" s="96">
        <v>0.02</v>
      </c>
      <c r="H17" s="96">
        <v>0.02</v>
      </c>
      <c r="I17" s="96">
        <v>0.05</v>
      </c>
      <c r="J17" s="97"/>
      <c r="K17" s="96"/>
      <c r="L17" s="96"/>
      <c r="M17" s="96"/>
      <c r="N17" s="96"/>
      <c r="O17" s="96"/>
      <c r="P17" s="96"/>
      <c r="Q17" s="96"/>
      <c r="R17" s="96">
        <v>0.16</v>
      </c>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v>0.05</v>
      </c>
    </row>
    <row r="18" spans="1:44" x14ac:dyDescent="0.25">
      <c r="A18" t="s">
        <v>38</v>
      </c>
      <c r="B18" s="95">
        <v>1.4E-2</v>
      </c>
      <c r="C18" s="96">
        <f t="shared" si="0"/>
        <v>1</v>
      </c>
      <c r="D18" s="97">
        <v>0.25</v>
      </c>
      <c r="E18" s="97">
        <v>0.3</v>
      </c>
      <c r="F18" s="97">
        <v>0.01</v>
      </c>
      <c r="G18" s="96">
        <v>0.02</v>
      </c>
      <c r="H18" s="96">
        <v>0.02</v>
      </c>
      <c r="I18" s="96">
        <v>0.01</v>
      </c>
      <c r="J18" s="97"/>
      <c r="K18" s="96"/>
      <c r="L18" s="96"/>
      <c r="M18" s="96"/>
      <c r="N18" s="96"/>
      <c r="O18" s="96"/>
      <c r="P18" s="96"/>
      <c r="Q18" s="96"/>
      <c r="R18" s="96"/>
      <c r="S18" s="96"/>
      <c r="T18" s="96"/>
      <c r="U18" s="96"/>
      <c r="V18" s="96"/>
      <c r="W18" s="96"/>
      <c r="X18" s="96"/>
      <c r="Y18" s="96"/>
      <c r="Z18" s="96"/>
      <c r="AA18" s="96"/>
      <c r="AB18" s="96"/>
      <c r="AC18" s="96">
        <v>0.1</v>
      </c>
      <c r="AD18" s="96">
        <v>0.28000000000000003</v>
      </c>
      <c r="AE18" s="96"/>
      <c r="AF18" s="96"/>
      <c r="AG18" s="96"/>
      <c r="AH18" s="96"/>
      <c r="AI18" s="96"/>
      <c r="AJ18" s="96"/>
      <c r="AK18" s="96"/>
      <c r="AL18" s="96"/>
      <c r="AM18" s="96"/>
      <c r="AN18" s="96"/>
      <c r="AO18" s="96"/>
      <c r="AP18" s="96"/>
      <c r="AQ18" s="96"/>
      <c r="AR18" s="96">
        <v>0.01</v>
      </c>
    </row>
    <row r="19" spans="1:44" x14ac:dyDescent="0.25">
      <c r="A19" t="s">
        <v>39</v>
      </c>
      <c r="B19" s="95">
        <v>3.0000000000000001E-3</v>
      </c>
      <c r="C19" s="96">
        <f t="shared" si="0"/>
        <v>1</v>
      </c>
      <c r="D19" s="97">
        <v>0.22</v>
      </c>
      <c r="E19" s="97">
        <v>0.32</v>
      </c>
      <c r="F19" s="97">
        <v>0.01</v>
      </c>
      <c r="G19" s="96">
        <v>0.01</v>
      </c>
      <c r="H19" s="96">
        <v>0.04</v>
      </c>
      <c r="I19" s="96">
        <v>0.02</v>
      </c>
      <c r="J19" s="97"/>
      <c r="K19" s="96"/>
      <c r="L19" s="96"/>
      <c r="M19" s="96"/>
      <c r="N19" s="96"/>
      <c r="O19" s="96"/>
      <c r="P19" s="96"/>
      <c r="Q19" s="96"/>
      <c r="R19" s="96">
        <v>0.12</v>
      </c>
      <c r="S19" s="96"/>
      <c r="T19" s="96"/>
      <c r="U19" s="96"/>
      <c r="V19" s="96"/>
      <c r="W19" s="96"/>
      <c r="X19" s="96"/>
      <c r="Y19" s="96"/>
      <c r="Z19" s="96"/>
      <c r="AA19" s="96"/>
      <c r="AB19" s="96"/>
      <c r="AC19" s="96"/>
      <c r="AD19" s="96"/>
      <c r="AE19" s="96">
        <v>0.21</v>
      </c>
      <c r="AF19" s="96"/>
      <c r="AG19" s="96"/>
      <c r="AH19" s="96"/>
      <c r="AI19" s="96"/>
      <c r="AJ19" s="96"/>
      <c r="AK19" s="96"/>
      <c r="AL19" s="96"/>
      <c r="AM19" s="96"/>
      <c r="AN19" s="96"/>
      <c r="AO19" s="96"/>
      <c r="AP19" s="96"/>
      <c r="AQ19" s="96"/>
      <c r="AR19" s="96">
        <v>0.05</v>
      </c>
    </row>
    <row r="20" spans="1:44" x14ac:dyDescent="0.25">
      <c r="A20" t="s">
        <v>40</v>
      </c>
      <c r="B20" s="95">
        <v>6.0000000000000001E-3</v>
      </c>
      <c r="C20" s="96">
        <f t="shared" si="0"/>
        <v>1</v>
      </c>
      <c r="D20" s="97">
        <v>0.14000000000000001</v>
      </c>
      <c r="E20" s="97">
        <v>0.18</v>
      </c>
      <c r="F20" s="97">
        <v>0.02</v>
      </c>
      <c r="G20" s="96">
        <v>0.01</v>
      </c>
      <c r="H20" s="96">
        <v>0.03</v>
      </c>
      <c r="I20" s="96">
        <v>0.03</v>
      </c>
      <c r="J20" s="97"/>
      <c r="K20" s="96"/>
      <c r="L20" s="96"/>
      <c r="M20" s="96"/>
      <c r="N20" s="96"/>
      <c r="O20" s="96"/>
      <c r="P20" s="96"/>
      <c r="Q20" s="96"/>
      <c r="R20" s="96">
        <v>0.08</v>
      </c>
      <c r="S20" s="96"/>
      <c r="T20" s="96"/>
      <c r="U20" s="96"/>
      <c r="V20" s="96"/>
      <c r="W20" s="96"/>
      <c r="X20" s="96"/>
      <c r="Y20" s="96"/>
      <c r="Z20" s="96">
        <v>0.37</v>
      </c>
      <c r="AA20" s="96"/>
      <c r="AB20" s="96"/>
      <c r="AC20" s="96"/>
      <c r="AD20" s="96"/>
      <c r="AE20" s="96">
        <v>0.12</v>
      </c>
      <c r="AF20" s="96"/>
      <c r="AG20" s="96"/>
      <c r="AH20" s="96"/>
      <c r="AI20" s="96"/>
      <c r="AJ20" s="96"/>
      <c r="AK20" s="96"/>
      <c r="AL20" s="96"/>
      <c r="AM20" s="96"/>
      <c r="AN20" s="96"/>
      <c r="AO20" s="96"/>
      <c r="AP20" s="96"/>
      <c r="AQ20" s="96"/>
      <c r="AR20" s="96">
        <v>0.02</v>
      </c>
    </row>
    <row r="21" spans="1:44" x14ac:dyDescent="0.25">
      <c r="A21" s="31" t="s">
        <v>41</v>
      </c>
      <c r="B21" s="95">
        <v>9.2499999999999999E-2</v>
      </c>
      <c r="C21" s="96">
        <f t="shared" si="0"/>
        <v>0.99999999999999989</v>
      </c>
      <c r="D21" s="97">
        <v>0.1</v>
      </c>
      <c r="E21" s="97">
        <v>0.45</v>
      </c>
      <c r="F21" s="97">
        <v>8.3999999999999995E-3</v>
      </c>
      <c r="G21" s="96">
        <v>3.1600000000000003E-2</v>
      </c>
      <c r="H21" s="96">
        <v>7.0000000000000007E-2</v>
      </c>
      <c r="I21" s="96"/>
      <c r="J21" s="97"/>
      <c r="K21" s="96"/>
      <c r="L21" s="96"/>
      <c r="M21" s="96"/>
      <c r="N21" s="96">
        <v>0.02</v>
      </c>
      <c r="O21" s="96"/>
      <c r="P21" s="96"/>
      <c r="Q21" s="96"/>
      <c r="R21" s="96">
        <v>0.09</v>
      </c>
      <c r="S21" s="96"/>
      <c r="T21" s="96"/>
      <c r="U21" s="96"/>
      <c r="V21" s="96"/>
      <c r="W21" s="96"/>
      <c r="X21" s="96"/>
      <c r="Y21" s="96"/>
      <c r="Z21" s="96"/>
      <c r="AA21" s="96"/>
      <c r="AB21" s="96"/>
      <c r="AC21" s="96"/>
      <c r="AD21" s="96"/>
      <c r="AE21" s="96"/>
      <c r="AF21" s="96">
        <v>0.02</v>
      </c>
      <c r="AG21" s="96">
        <v>0.09</v>
      </c>
      <c r="AH21" s="96">
        <v>0.12</v>
      </c>
      <c r="AI21" s="96"/>
      <c r="AJ21" s="96"/>
      <c r="AK21" s="96"/>
      <c r="AL21" s="96"/>
      <c r="AM21" s="96"/>
      <c r="AN21" s="96"/>
      <c r="AO21" s="96"/>
      <c r="AP21" s="96"/>
      <c r="AQ21" s="96"/>
      <c r="AR21" s="96"/>
    </row>
    <row r="22" spans="1:44" x14ac:dyDescent="0.25">
      <c r="A22" s="31" t="s">
        <v>42</v>
      </c>
      <c r="B22" s="95">
        <v>1.6E-2</v>
      </c>
      <c r="C22" s="96">
        <f t="shared" si="0"/>
        <v>1</v>
      </c>
      <c r="D22" s="97">
        <v>0.08</v>
      </c>
      <c r="E22" s="97">
        <v>0.24</v>
      </c>
      <c r="F22" s="97">
        <v>6.3E-3</v>
      </c>
      <c r="G22" s="96">
        <v>2.3699999999999999E-2</v>
      </c>
      <c r="H22" s="96">
        <v>0.08</v>
      </c>
      <c r="I22" s="96"/>
      <c r="J22" s="97"/>
      <c r="K22" s="96"/>
      <c r="L22" s="96"/>
      <c r="M22" s="96"/>
      <c r="N22" s="96">
        <v>0.02</v>
      </c>
      <c r="O22" s="96"/>
      <c r="P22" s="96"/>
      <c r="Q22" s="96"/>
      <c r="R22" s="96">
        <v>0.02</v>
      </c>
      <c r="S22" s="96"/>
      <c r="T22" s="96"/>
      <c r="U22" s="96"/>
      <c r="V22" s="96"/>
      <c r="W22" s="96"/>
      <c r="X22" s="96"/>
      <c r="Y22" s="96"/>
      <c r="Z22" s="96"/>
      <c r="AA22" s="96"/>
      <c r="AB22" s="96"/>
      <c r="AC22" s="96"/>
      <c r="AD22" s="96"/>
      <c r="AE22" s="96">
        <v>0.22</v>
      </c>
      <c r="AF22" s="96">
        <v>0.01</v>
      </c>
      <c r="AG22" s="96">
        <v>0.05</v>
      </c>
      <c r="AH22" s="96"/>
      <c r="AI22" s="96"/>
      <c r="AJ22" s="96">
        <v>0.25</v>
      </c>
      <c r="AK22" s="96"/>
      <c r="AL22" s="96"/>
      <c r="AM22" s="96"/>
      <c r="AN22" s="96"/>
      <c r="AO22" s="96"/>
      <c r="AP22" s="96"/>
      <c r="AQ22" s="96"/>
      <c r="AR22" s="96"/>
    </row>
    <row r="23" spans="1:44" x14ac:dyDescent="0.25">
      <c r="A23" t="s">
        <v>43</v>
      </c>
      <c r="B23" s="95">
        <v>2.4E-2</v>
      </c>
      <c r="C23" s="96">
        <f t="shared" si="0"/>
        <v>1</v>
      </c>
      <c r="D23" s="97">
        <v>0.13</v>
      </c>
      <c r="E23" s="97">
        <v>0.62</v>
      </c>
      <c r="F23" s="97">
        <v>6.3E-3</v>
      </c>
      <c r="G23" s="96">
        <v>2.3699999999999999E-2</v>
      </c>
      <c r="H23" s="96">
        <v>0.09</v>
      </c>
      <c r="I23" s="96"/>
      <c r="J23" s="97"/>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v>0.13</v>
      </c>
      <c r="AK23" s="96"/>
      <c r="AL23" s="96"/>
      <c r="AM23" s="96"/>
      <c r="AN23" s="96"/>
      <c r="AO23" s="96"/>
      <c r="AP23" s="96"/>
      <c r="AQ23" s="96"/>
      <c r="AR23" s="96"/>
    </row>
    <row r="24" spans="1:44" x14ac:dyDescent="0.25">
      <c r="A24" s="98" t="s">
        <v>44</v>
      </c>
      <c r="B24" s="95">
        <v>2.75E-2</v>
      </c>
      <c r="C24" s="96">
        <f t="shared" si="0"/>
        <v>1</v>
      </c>
      <c r="D24" s="97">
        <v>0.08</v>
      </c>
      <c r="E24" s="97">
        <v>0.4</v>
      </c>
      <c r="F24" s="97"/>
      <c r="G24" s="96">
        <v>0.02</v>
      </c>
      <c r="H24" s="96">
        <v>0.02</v>
      </c>
      <c r="I24" s="96"/>
      <c r="J24" s="97">
        <v>0.16</v>
      </c>
      <c r="K24" s="96"/>
      <c r="L24" s="96"/>
      <c r="M24" s="96"/>
      <c r="N24" s="96"/>
      <c r="O24" s="96"/>
      <c r="P24" s="96"/>
      <c r="Q24" s="96"/>
      <c r="R24" s="96">
        <v>0.02</v>
      </c>
      <c r="S24" s="96"/>
      <c r="T24" s="96"/>
      <c r="U24" s="96"/>
      <c r="V24" s="96"/>
      <c r="W24" s="96"/>
      <c r="X24" s="96"/>
      <c r="Y24" s="96"/>
      <c r="Z24" s="96"/>
      <c r="AA24" s="96"/>
      <c r="AB24" s="96"/>
      <c r="AC24" s="96"/>
      <c r="AD24" s="96"/>
      <c r="AE24" s="96"/>
      <c r="AF24" s="96">
        <v>0.01</v>
      </c>
      <c r="AG24" s="96"/>
      <c r="AH24" s="96"/>
      <c r="AI24" s="96">
        <v>0.1</v>
      </c>
      <c r="AJ24" s="96"/>
      <c r="AK24" s="96">
        <v>0.19</v>
      </c>
      <c r="AL24" s="96"/>
      <c r="AM24" s="96"/>
      <c r="AN24" s="96"/>
      <c r="AO24" s="96"/>
      <c r="AP24" s="96"/>
      <c r="AQ24" s="96"/>
      <c r="AR24" s="96"/>
    </row>
    <row r="25" spans="1:44" x14ac:dyDescent="0.25">
      <c r="A25" t="s">
        <v>45</v>
      </c>
      <c r="B25" s="95">
        <v>0.01</v>
      </c>
      <c r="C25" s="96">
        <f t="shared" si="0"/>
        <v>1</v>
      </c>
      <c r="D25" s="97">
        <v>0.11</v>
      </c>
      <c r="E25" s="97">
        <v>0.47</v>
      </c>
      <c r="F25" s="97">
        <v>0.01</v>
      </c>
      <c r="G25" s="96"/>
      <c r="H25" s="96">
        <v>0.01</v>
      </c>
      <c r="I25" s="96">
        <v>0.03</v>
      </c>
      <c r="J25" s="97"/>
      <c r="K25" s="96">
        <v>0.02</v>
      </c>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v>0.02</v>
      </c>
      <c r="AM25" s="96">
        <v>0.02</v>
      </c>
      <c r="AN25" s="96">
        <v>0.31</v>
      </c>
      <c r="AO25" s="96"/>
      <c r="AP25" s="96"/>
      <c r="AQ25" s="96"/>
      <c r="AR25" s="96"/>
    </row>
    <row r="26" spans="1:44" x14ac:dyDescent="0.25">
      <c r="A26" t="s">
        <v>46</v>
      </c>
      <c r="B26" s="95">
        <v>2E-3</v>
      </c>
      <c r="C26" s="96">
        <f t="shared" si="0"/>
        <v>1.0000000000000002</v>
      </c>
      <c r="D26" s="97">
        <v>0.17</v>
      </c>
      <c r="E26" s="97">
        <v>0.6</v>
      </c>
      <c r="F26" s="97">
        <v>0.03</v>
      </c>
      <c r="G26" s="96">
        <v>0.03</v>
      </c>
      <c r="H26" s="96"/>
      <c r="I26" s="96">
        <v>0.03</v>
      </c>
      <c r="J26" s="97"/>
      <c r="K26" s="96"/>
      <c r="L26" s="96"/>
      <c r="M26" s="96"/>
      <c r="N26" s="96"/>
      <c r="O26" s="96"/>
      <c r="P26" s="96"/>
      <c r="Q26" s="96"/>
      <c r="R26" s="96"/>
      <c r="S26" s="96"/>
      <c r="T26" s="96"/>
      <c r="U26" s="96"/>
      <c r="V26" s="96"/>
      <c r="W26" s="96"/>
      <c r="X26" s="96"/>
      <c r="Y26" s="96"/>
      <c r="Z26" s="96"/>
      <c r="AA26" s="96"/>
      <c r="AB26" s="96"/>
      <c r="AC26" s="96"/>
      <c r="AD26" s="96"/>
      <c r="AE26" s="96"/>
      <c r="AF26" s="96">
        <v>0.02</v>
      </c>
      <c r="AG26" s="96"/>
      <c r="AH26" s="96"/>
      <c r="AI26" s="96"/>
      <c r="AJ26" s="96"/>
      <c r="AK26" s="96"/>
      <c r="AL26" s="96"/>
      <c r="AM26" s="96"/>
      <c r="AN26" s="96"/>
      <c r="AO26" s="96">
        <v>0.02</v>
      </c>
      <c r="AP26" s="96">
        <v>0.1</v>
      </c>
      <c r="AQ26" s="96"/>
      <c r="AR26" s="96"/>
    </row>
    <row r="29" spans="1:44" x14ac:dyDescent="0.25">
      <c r="D29" s="236"/>
      <c r="E29" s="236"/>
      <c r="F29" s="236"/>
      <c r="G29" s="236"/>
      <c r="H29" s="236"/>
      <c r="I29" s="236"/>
      <c r="J29" s="236"/>
      <c r="K29" s="236"/>
      <c r="L29" s="236"/>
      <c r="M29" s="236"/>
      <c r="N29" s="236"/>
      <c r="O29" s="236"/>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row>
    <row r="30" spans="1:44" x14ac:dyDescent="0.25">
      <c r="D30" s="236"/>
      <c r="E30" s="236"/>
      <c r="F30" s="236"/>
      <c r="G30" s="236"/>
      <c r="H30" s="236"/>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row>
    <row r="31" spans="1:44" x14ac:dyDescent="0.25">
      <c r="D31" s="236"/>
      <c r="E31" s="236"/>
      <c r="F31" s="236"/>
      <c r="G31" s="236"/>
      <c r="H31" s="236"/>
      <c r="I31" s="236"/>
      <c r="J31" s="236"/>
      <c r="K31" s="236"/>
      <c r="L31" s="236"/>
      <c r="M31" s="236"/>
      <c r="N31" s="236"/>
      <c r="O31" s="236"/>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row>
  </sheetData>
  <sheetProtection algorithmName="SHA-512" hashValue="rpxv/afCq4bLDD/c5eH3C1RvlEYid4A/pG2g8P4IluVOUXirmh8xCxJPlCZq8OkhK80IpsztE2g+PrTIPy4+cw==" saltValue="Q6h+sOYwuB+le+d42sl9lQ=="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topLeftCell="A38" workbookViewId="0">
      <selection activeCell="E56" sqref="E56"/>
    </sheetView>
  </sheetViews>
  <sheetFormatPr baseColWidth="10" defaultRowHeight="15" x14ac:dyDescent="0.25"/>
  <sheetData>
    <row r="1" spans="1:20" x14ac:dyDescent="0.25">
      <c r="A1" t="s">
        <v>197</v>
      </c>
      <c r="C1" t="str">
        <f>'RESULTATS DEPUIS JANVIER'!B4</f>
        <v>TP02</v>
      </c>
    </row>
    <row r="2" spans="1:20" x14ac:dyDescent="0.25">
      <c r="A2" t="s">
        <v>193</v>
      </c>
      <c r="C2" s="104">
        <f>SUM(INDEX(compo_index,MATCH(C1,'COMPOSITION INDEX'!A1:A26),2))</f>
        <v>0.1</v>
      </c>
    </row>
    <row r="4" spans="1:20" x14ac:dyDescent="0.25">
      <c r="A4" t="str">
        <f>"Composition globale du "&amp;C1</f>
        <v>Composition globale du TP02</v>
      </c>
    </row>
    <row r="5" spans="1:20" x14ac:dyDescent="0.25">
      <c r="A5" s="102" t="s">
        <v>185</v>
      </c>
      <c r="B5" s="102" t="s">
        <v>134</v>
      </c>
      <c r="C5" s="121" cm="1">
        <f t="array" ref="C5">SUM(IF((INDEX(compo_index,1,)=A5)*(INDEX(compo_index,,1)=C1),INDEX(compo_index,,),0))</f>
        <v>0.15</v>
      </c>
      <c r="G5" s="106" t="s">
        <v>56</v>
      </c>
      <c r="H5" s="102" t="s">
        <v>134</v>
      </c>
    </row>
    <row r="6" spans="1:20" x14ac:dyDescent="0.25">
      <c r="A6" s="102" t="s">
        <v>186</v>
      </c>
      <c r="B6" s="102" t="s">
        <v>135</v>
      </c>
      <c r="C6" s="121" cm="1">
        <f t="array" ref="C6">SUM(IF((INDEX(compo_index,1,)=A6)*(INDEX(compo_index,,1)=C1),INDEX(compo_index,,),0))</f>
        <v>0.55000000000000004</v>
      </c>
      <c r="G6" s="102" t="s">
        <v>57</v>
      </c>
      <c r="H6" s="102" t="s">
        <v>135</v>
      </c>
    </row>
    <row r="7" spans="1:20" x14ac:dyDescent="0.25">
      <c r="A7" s="102" t="s">
        <v>187</v>
      </c>
      <c r="B7" s="102" t="s">
        <v>194</v>
      </c>
      <c r="C7" s="121" cm="1">
        <f t="array" ref="C7">SUM(IF((INDEX(compo_index,1,)=A7)*(INDEX(compo_index,,1)=C1),INDEX(compo_index,,),0))</f>
        <v>0.01</v>
      </c>
      <c r="G7" s="191" t="s">
        <v>280</v>
      </c>
      <c r="H7" s="102" t="s">
        <v>137</v>
      </c>
    </row>
    <row r="8" spans="1:20" x14ac:dyDescent="0.25">
      <c r="A8" s="102" t="s">
        <v>190</v>
      </c>
      <c r="B8" s="102" t="s">
        <v>195</v>
      </c>
      <c r="C8" s="121" cm="1">
        <f t="array" ref="C8">SUM(IF((INDEX(compo_index,1,)=A8)*(INDEX(compo_index,,1)=C1),INDEX(compo_index,,),0))</f>
        <v>0.27</v>
      </c>
      <c r="G8" s="106" t="s">
        <v>59</v>
      </c>
      <c r="H8" s="102" t="s">
        <v>138</v>
      </c>
    </row>
    <row r="9" spans="1:20" x14ac:dyDescent="0.25">
      <c r="A9" s="102" t="s">
        <v>188</v>
      </c>
      <c r="B9" s="102" t="s">
        <v>139</v>
      </c>
      <c r="C9" s="121" cm="1">
        <f t="array" ref="C9">SUM(IF((INDEX(compo_index,1,)=A9)*(INDEX(compo_index,,1)=C1),INDEX(compo_index,,),0))</f>
        <v>0.01</v>
      </c>
      <c r="G9" s="106" t="s">
        <v>60</v>
      </c>
      <c r="H9" s="102" t="s">
        <v>139</v>
      </c>
    </row>
    <row r="10" spans="1:20" x14ac:dyDescent="0.25">
      <c r="A10" s="102" t="s">
        <v>189</v>
      </c>
      <c r="B10" s="102" t="s">
        <v>183</v>
      </c>
      <c r="C10" s="121" cm="1">
        <f t="array" ref="C10">SUM(IF((INDEX(compo_index,1,)=A10)*(INDEX(compo_index,,1)=C1),INDEX(compo_index,,),0))</f>
        <v>0.01</v>
      </c>
      <c r="G10" s="106" t="s">
        <v>61</v>
      </c>
      <c r="H10" s="102" t="s">
        <v>140</v>
      </c>
    </row>
    <row r="11" spans="1:20" x14ac:dyDescent="0.25">
      <c r="A11" s="102" t="s">
        <v>191</v>
      </c>
      <c r="B11" s="102" t="s">
        <v>196</v>
      </c>
      <c r="C11" s="121" cm="1">
        <f t="array" ref="C11">SUM(IF((INDEX(compo_index,1,)=A11)*(INDEX(compo_index,,1)=C1),INDEX(compo_index,,),0))</f>
        <v>0</v>
      </c>
    </row>
    <row r="14" spans="1:20" x14ac:dyDescent="0.25">
      <c r="B14" t="s">
        <v>24</v>
      </c>
      <c r="C14" t="str">
        <f>'RESULTATS DEPUIS JANVIER'!$B$4</f>
        <v>TP02</v>
      </c>
      <c r="D14" t="s">
        <v>134</v>
      </c>
      <c r="E14" s="102" t="s">
        <v>135</v>
      </c>
      <c r="F14" s="102" t="s">
        <v>137</v>
      </c>
      <c r="G14" s="102" t="str">
        <f>IF(OR(M15=E14,M15=D14),IF(OR(M16=E14, M16=D14),M17,M16),M15)</f>
        <v>Béton prêt à l'emploi</v>
      </c>
      <c r="H14" s="102" t="str">
        <f>IF(OR(M16=D14,M16=E14,M16=G14),M18,M16)</f>
        <v>Barres crénelées ou nervurées pour béton armé</v>
      </c>
      <c r="L14" s="96" t="str">
        <f>C14</f>
        <v>TP02</v>
      </c>
    </row>
    <row r="15" spans="1:20" x14ac:dyDescent="0.25">
      <c r="B15" s="96"/>
      <c r="D15" t="str">
        <f>HLOOKUP(D14,'COMPOSITION INDEX'!$A$2:$AR$3,2,FALSE)</f>
        <v>001711009</v>
      </c>
      <c r="E15" t="str">
        <f>HLOOKUP(E14,'COMPOSITION INDEX'!$A$2:$AR$3,2,FALSE)</f>
        <v>5540998</v>
      </c>
      <c r="F15" t="str">
        <f>HLOOKUP(F14,'COMPOSITION INDEX'!$A$2:$AR$3,2,FALSE)</f>
        <v>010758171</v>
      </c>
      <c r="G15" t="str">
        <f>HLOOKUP(G14,'COMPOSITION INDEX'!$A$2:$AR$3,2,FALSE)</f>
        <v>010534646</v>
      </c>
      <c r="H15" t="str">
        <f>HLOOKUP(H14,'COMPOSITION INDEX'!$A$2:$AR$3,2,FALSE)</f>
        <v>010546545</v>
      </c>
      <c r="K15" s="105" t="str" cm="1">
        <f t="array" ref="K15:K55">TRANSPOSE(INDEX('COMPOSITION INDEX'!D1:AR26,2,))</f>
        <v>Matériel</v>
      </c>
      <c r="L15" s="105" cm="1">
        <f t="array" ref="L15:L55">TRANSPOSE(INDEX('COMPOSITION INDEX'!D1:AR26,MATCH(L14,'COMPOSITION INDEX'!A1:A26,0),))</f>
        <v>0.15</v>
      </c>
      <c r="M15" t="str" cm="1">
        <f t="array" ref="M15:N55">_xlfn._xlws.SORT(K15:L55,2,-1)</f>
        <v>Travail</v>
      </c>
      <c r="N15">
        <v>0.55000000000000004</v>
      </c>
      <c r="P15" t="s">
        <v>56</v>
      </c>
      <c r="Q15" t="str" cm="1">
        <f t="array" ref="Q15:S55">'DEPUIS JANVIER'!C40:E80</f>
        <v>Matériel</v>
      </c>
      <c r="R15" s="21">
        <v>6.106791083462948E-2</v>
      </c>
      <c r="S15" s="21">
        <v>9.0231170768083624E-2</v>
      </c>
      <c r="T15" s="171"/>
    </row>
    <row r="16" spans="1:20" x14ac:dyDescent="0.25">
      <c r="A16" s="1">
        <f>EDATE(DATE3,-35)</f>
        <v>43739</v>
      </c>
      <c r="B16" cm="1">
        <f t="array" ref="B16">IF(A16&lt;=DATE3,SUM(IF((INDEX(INDEX,,1)=A16)*(INDEX(INDEX,3,)="TP01"),INDEX(INDEX,,),0)),"")</f>
        <v>111.2</v>
      </c>
      <c r="C16" s="94" cm="1">
        <f t="array" ref="C16">IF(A16&lt;=DATE3,SUM(IF((INDEX(INDEX,,1)=A16)*(INDEX(INDEX,3,)=C14),INDEX(INDEX,,),0)),"")</f>
        <v>114.2</v>
      </c>
      <c r="D16" s="33" cm="1">
        <f t="array" ref="D16">IF($A16&lt;=DATE4,SUM(IF((INDEX(INDICES,,1)=$A16)*(INDEX(INDICES,5,)=D$14),INDEX(INDICES,,),0)),NA())</f>
        <v>105.6</v>
      </c>
      <c r="E16" s="33" cm="1">
        <f t="array" ref="E16">IF($A16&lt;=DATE4,SUM(IF((INDEX(INDICES,,1)=$A16)*(INDEX(INDICES,5,)=E$14),INDEX(INDICES,,),0)),NA())</f>
        <v>123.5</v>
      </c>
      <c r="F16" s="33" cm="1">
        <f t="array" ref="F16">IF($A16&lt;=DATE4,SUM(IF((INDEX(INDICES,,1)=$A16)*(INDEX(INDICES,5,)=F$14),INDEX(INDICES,,),0)),NA())</f>
        <v>127.38450719544376</v>
      </c>
      <c r="G16" s="33" cm="1">
        <f t="array" ref="G16">IF($A16&lt;=DATE4,SUM(IF((INDEX(INDICES,,1)=$A16)*(INDEX(INDICES,5,)=G$14),INDEX(INDICES,,),0)),NA())</f>
        <v>104.7</v>
      </c>
      <c r="H16" s="33" cm="1">
        <f t="array" ref="H16">IF($A16&lt;=DATE4,SUM(IF((INDEX(INDICES,,1)=$A16)*(INDEX(INDICES,5,)=H$14),INDEX(INDICES,,),0)),NA())</f>
        <v>114.1</v>
      </c>
      <c r="K16" t="str">
        <v>Travail</v>
      </c>
      <c r="L16" s="105">
        <v>0.55000000000000004</v>
      </c>
      <c r="M16" t="str">
        <v>Matériel</v>
      </c>
      <c r="N16">
        <v>0.15</v>
      </c>
      <c r="P16" t="s">
        <v>57</v>
      </c>
      <c r="Q16" t="str">
        <v>Travail</v>
      </c>
      <c r="R16" s="21">
        <v>3.5262206148283237E-3</v>
      </c>
      <c r="S16" s="21">
        <v>-2.785265049415897E-3</v>
      </c>
      <c r="T16" s="171"/>
    </row>
    <row r="17" spans="1:20" x14ac:dyDescent="0.25">
      <c r="A17" s="1">
        <f t="shared" ref="A17:A52" si="0">IF(A16&lt;DATE3,EDATE(A16,1),"")</f>
        <v>43770</v>
      </c>
      <c r="B17" s="121" cm="1">
        <f t="array" ref="B17">IF(A17&lt;=DATE3,SUM(IF((INDEX(INDEX,,1)=A17)*(INDEX(INDEX,3,)="TP01"),INDEX(INDEX,,),0)),"")</f>
        <v>110.5</v>
      </c>
      <c r="C17" s="94" cm="1">
        <f t="array" ref="C17">IF(A17&lt;=DATE3,SUM(IF((INDEX(INDEX,,1)=A17)*(INDEX(INDEX,3,)=C1),INDEX(INDEX,,),0)),"")</f>
        <v>114.2</v>
      </c>
      <c r="D17" s="33" cm="1">
        <f t="array" ref="D17">IF($A17&lt;=DATE4,SUM(IF((INDEX(INDICES,,1)=$A17)*(INDEX(INDICES,5,)=D$14),INDEX(INDICES,,),0)),NA())</f>
        <v>105.1</v>
      </c>
      <c r="E17" s="33" cm="1">
        <f t="array" ref="E17">IF($A17&lt;=DATE4,SUM(IF((INDEX(INDICES,,1)=$A17)*(INDEX(INDICES,5,)=E$14),INDEX(INDICES,,),0)),NA())</f>
        <v>123.7</v>
      </c>
      <c r="F17" s="33" cm="1">
        <f t="array" ref="F17">IF($A17&lt;=DATE4,SUM(IF((INDEX(INDICES,,1)=$A17)*(INDEX(INDICES,5,)=F$14),INDEX(INDICES,,),0)),NA())</f>
        <v>127.28051984263115</v>
      </c>
      <c r="G17" s="33" cm="1">
        <f t="array" ref="G17">IF($A17&lt;=DATE4,SUM(IF((INDEX(INDICES,,1)=$A17)*(INDEX(INDICES,5,)=G$14),INDEX(INDICES,,),0)),NA())</f>
        <v>104.5</v>
      </c>
      <c r="H17" s="33" cm="1">
        <f t="array" ref="H17">IF($A17&lt;=DATE4,SUM(IF((INDEX(INDICES,,1)=$A17)*(INDEX(INDICES,5,)=H$14),INDEX(INDICES,,),0)),NA())</f>
        <v>111.3</v>
      </c>
      <c r="K17" t="str">
        <v>GNR</v>
      </c>
      <c r="L17" s="105">
        <v>0</v>
      </c>
      <c r="M17" t="str">
        <v>Béton prêt à l'emploi</v>
      </c>
      <c r="N17">
        <v>0.12</v>
      </c>
      <c r="P17" t="s">
        <v>58</v>
      </c>
      <c r="Q17" t="str">
        <v>Travail activités spécialisées</v>
      </c>
      <c r="R17" s="21">
        <v>1.2337896253602043E-2</v>
      </c>
      <c r="S17" s="21">
        <v>2.9584172925444241E-2</v>
      </c>
      <c r="T17" s="171"/>
    </row>
    <row r="18" spans="1:20" x14ac:dyDescent="0.25">
      <c r="A18" s="1">
        <f t="shared" si="0"/>
        <v>43800</v>
      </c>
      <c r="B18" s="121" cm="1">
        <f t="array" ref="B18">IF(A18&lt;=DATE3,SUM(IF((INDEX(INDEX,,1)=A18)*(INDEX(INDEX,3,)="TP01"),INDEX(INDEX,,),0)),"")</f>
        <v>110.4</v>
      </c>
      <c r="C18" s="94" cm="1">
        <f t="array" ref="C18">IF(A18&lt;=DATE3,SUM(IF((INDEX(INDEX,,1)=A18)*(INDEX(INDEX,3,)=C14),INDEX(INDEX,,),0)),"")</f>
        <v>114.3</v>
      </c>
      <c r="D18" s="33" cm="1">
        <f t="array" ref="D18">IF($A18&lt;=DATE4,SUM(IF((INDEX(INDICES,,1)=$A18)*(INDEX(INDICES,5,)=D$14),INDEX(INDICES,,),0)),NA())</f>
        <v>104.6</v>
      </c>
      <c r="E18" s="33" cm="1">
        <f t="array" ref="E18">IF($A18&lt;=DATE4,SUM(IF((INDEX(INDICES,,1)=$A18)*(INDEX(INDICES,5,)=E$14),INDEX(INDICES,,),0)),NA())</f>
        <v>123.9</v>
      </c>
      <c r="F18" s="33" cm="1">
        <f t="array" ref="F18">IF($A18&lt;=DATE4,SUM(IF((INDEX(INDICES,,1)=$A18)*(INDEX(INDICES,5,)=F$14),INDEX(INDICES,,),0)),NA())</f>
        <v>125.63951394619112</v>
      </c>
      <c r="G18" s="33" cm="1">
        <f t="array" ref="G18">IF($A18&lt;=DATE4,SUM(IF((INDEX(INDICES,,1)=$A18)*(INDEX(INDICES,5,)=G$14),INDEX(INDICES,,),0)),NA())</f>
        <v>104.8</v>
      </c>
      <c r="H18" s="33" cm="1">
        <f t="array" ref="H18">IF($A18&lt;=DATE4,SUM(IF((INDEX(INDICES,,1)=$A18)*(INDEX(INDICES,5,)=H$14),INDEX(INDICES,,),0)),NA())</f>
        <v>111.2</v>
      </c>
      <c r="K18" t="str">
        <v>Gazole</v>
      </c>
      <c r="L18" s="105">
        <v>0</v>
      </c>
      <c r="M18" t="str">
        <v>Barres crénelées ou nervurées pour béton armé</v>
      </c>
      <c r="N18">
        <v>0.09</v>
      </c>
      <c r="P18" s="94" t="s">
        <v>280</v>
      </c>
      <c r="Q18" t="str">
        <v>GNR</v>
      </c>
      <c r="R18" s="21">
        <v>0.56175489439496218</v>
      </c>
      <c r="S18" s="21">
        <v>0.83458129028007733</v>
      </c>
      <c r="T18" s="171"/>
    </row>
    <row r="19" spans="1:20" x14ac:dyDescent="0.25">
      <c r="A19" s="1">
        <f t="shared" si="0"/>
        <v>43831</v>
      </c>
      <c r="B19" s="121" cm="1">
        <f t="array" ref="B19">IF(A19&lt;=DATE3,SUM(IF((INDEX(INDEX,,1)=A19)*(INDEX(INDEX,3,)="TP01"),INDEX(INDEX,,),0)),"")</f>
        <v>111.4</v>
      </c>
      <c r="C19" s="94" cm="1">
        <f t="array" ref="C19">IF(A19&lt;=DATE3,SUM(IF((INDEX(INDEX,,1)=A19)*(INDEX(INDEX,3,)=C14),INDEX(INDEX,,),0)),"")</f>
        <v>114.7</v>
      </c>
      <c r="D19" s="33" cm="1">
        <f t="array" ref="D19">IF($A19&lt;=DATE4,SUM(IF((INDEX(INDICES,,1)=$A19)*(INDEX(INDICES,5,)=D$14),INDEX(INDICES,,),0)),NA())</f>
        <v>104.7</v>
      </c>
      <c r="E19" s="33" cm="1">
        <f t="array" ref="E19">IF($A19&lt;=DATE4,SUM(IF((INDEX(INDICES,,1)=$A19)*(INDEX(INDICES,5,)=E$14),INDEX(INDICES,,),0)),NA())</f>
        <v>123.7</v>
      </c>
      <c r="F19" s="33" cm="1">
        <f t="array" ref="F19">IF($A19&lt;=DATE4,SUM(IF((INDEX(INDICES,,1)=$A19)*(INDEX(INDICES,5,)=F$14),INDEX(INDICES,,),0)),NA())</f>
        <v>128.96496013831526</v>
      </c>
      <c r="G19" s="33" cm="1">
        <f t="array" ref="G19">IF($A19&lt;=DATE4,SUM(IF((INDEX(INDICES,,1)=$A19)*(INDEX(INDICES,5,)=G$14),INDEX(INDICES,,),0)),NA())</f>
        <v>105.2</v>
      </c>
      <c r="H19" s="33" cm="1">
        <f t="array" ref="H19">IF($A19&lt;=DATE4,SUM(IF((INDEX(INDICES,,1)=$A19)*(INDEX(INDICES,5,)=H$14),INDEX(INDICES,,),0)),NA())</f>
        <v>112.6</v>
      </c>
      <c r="K19" t="str">
        <v>Frais divers</v>
      </c>
      <c r="L19" s="105">
        <v>0.01</v>
      </c>
      <c r="M19" t="str">
        <v>Tubes, tuyaux en matière plastique</v>
      </c>
      <c r="N19">
        <v>0.04</v>
      </c>
      <c r="P19" t="s">
        <v>59</v>
      </c>
      <c r="Q19" t="str">
        <v>Gazole</v>
      </c>
      <c r="R19" s="21">
        <v>0.32894112833483691</v>
      </c>
      <c r="S19" s="21">
        <v>0.44251655361757103</v>
      </c>
      <c r="T19" s="171"/>
    </row>
    <row r="20" spans="1:20" x14ac:dyDescent="0.25">
      <c r="A20" s="1">
        <f t="shared" si="0"/>
        <v>43862</v>
      </c>
      <c r="B20" s="121" cm="1">
        <f t="array" ref="B20">IF(A20&lt;=DATE3,SUM(IF((INDEX(INDEX,,1)=A20)*(INDEX(INDEX,3,)="TP01"),INDEX(INDEX,,),0)),"")</f>
        <v>111.7</v>
      </c>
      <c r="C20" s="94" cm="1">
        <f t="array" ref="C20">IF(A20&lt;=DATE3,SUM(IF((INDEX(INDEX,,1)=A20)*(INDEX(INDEX,3,)=C14),INDEX(INDEX,,),0)),"")</f>
        <v>114.8</v>
      </c>
      <c r="D20" s="33" cm="1">
        <f t="array" ref="D20">IF($A20&lt;=DATE4,SUM(IF((INDEX(INDICES,,1)=$A20)*(INDEX(INDICES,5,)=D$14),INDEX(INDICES,,),0)),NA())</f>
        <v>105.5</v>
      </c>
      <c r="E20" s="33" cm="1">
        <f t="array" ref="E20">IF($A20&lt;=DATE4,SUM(IF((INDEX(INDICES,,1)=$A20)*(INDEX(INDICES,5,)=E$14),INDEX(INDICES,,),0)),NA())</f>
        <v>123.5</v>
      </c>
      <c r="F20" s="33" cm="1">
        <f t="array" ref="F20">IF($A20&lt;=DATE4,SUM(IF((INDEX(INDICES,,1)=$A20)*(INDEX(INDICES,5,)=F$14),INDEX(INDICES,,),0)),NA())</f>
        <v>120.56288540966285</v>
      </c>
      <c r="G20" s="33" cm="1">
        <f t="array" ref="G20">IF($A20&lt;=DATE4,SUM(IF((INDEX(INDICES,,1)=$A20)*(INDEX(INDICES,5,)=G$14),INDEX(INDICES,,),0)),NA())</f>
        <v>103.7</v>
      </c>
      <c r="H20" s="33" cm="1">
        <f t="array" ref="H20">IF($A20&lt;=DATE4,SUM(IF((INDEX(INDICES,,1)=$A20)*(INDEX(INDICES,5,)=H$14),INDEX(INDICES,,),0)),NA())</f>
        <v>113.5</v>
      </c>
      <c r="K20" t="str">
        <v>Transports routiers</v>
      </c>
      <c r="L20" s="105">
        <v>0.01</v>
      </c>
      <c r="M20" t="str">
        <v>Ensemble des produits du sciage</v>
      </c>
      <c r="N20">
        <v>0.02</v>
      </c>
      <c r="P20" t="s">
        <v>60</v>
      </c>
      <c r="Q20" t="str">
        <v>Frais divers</v>
      </c>
      <c r="R20" s="21">
        <v>5.7224758466928316E-2</v>
      </c>
      <c r="S20" s="21">
        <v>6.7882037533511852E-2</v>
      </c>
      <c r="T20" s="171"/>
    </row>
    <row r="21" spans="1:20" x14ac:dyDescent="0.25">
      <c r="A21" s="1">
        <f t="shared" si="0"/>
        <v>43891</v>
      </c>
      <c r="B21" s="121" cm="1">
        <f t="array" ref="B21">IF(A21&lt;=DATE3,SUM(IF((INDEX(INDEX,,1)=A21)*(INDEX(INDEX,3,)="TP01"),INDEX(INDEX,,),0)),"")</f>
        <v>110.8</v>
      </c>
      <c r="C21" s="94" cm="1">
        <f t="array" ref="C21">IF(A21&lt;=DATE3,SUM(IF((INDEX(INDEX,,1)=A21)*(INDEX(INDEX,3,)=C14),INDEX(INDEX,,),0)),"")</f>
        <v>114.7</v>
      </c>
      <c r="D21" s="33" cm="1">
        <f t="array" ref="D21">IF($A21&lt;=DATE4,SUM(IF((INDEX(INDICES,,1)=$A21)*(INDEX(INDICES,5,)=D$14),INDEX(INDICES,,),0)),NA())</f>
        <v>105.3</v>
      </c>
      <c r="E21" s="33" cm="1">
        <f t="array" ref="E21">IF($A21&lt;=DATE4,SUM(IF((INDEX(INDICES,,1)=$A21)*(INDEX(INDICES,5,)=E$14),INDEX(INDICES,,),0)),NA())</f>
        <v>123.3</v>
      </c>
      <c r="F21" s="33" cm="1">
        <f t="array" ref="F21">IF($A21&lt;=DATE4,SUM(IF((INDEX(INDICES,,1)=$A21)*(INDEX(INDICES,5,)=F$14),INDEX(INDICES,,),0)),NA())</f>
        <v>103.85515320334262</v>
      </c>
      <c r="G21" s="33" cm="1">
        <f t="array" ref="G21">IF($A21&lt;=DATE4,SUM(IF((INDEX(INDICES,,1)=$A21)*(INDEX(INDICES,5,)=G$14),INDEX(INDICES,,),0)),NA())</f>
        <v>103.5</v>
      </c>
      <c r="H21" s="33" cm="1">
        <f t="array" ref="H21">IF($A21&lt;=DATE4,SUM(IF((INDEX(INDICES,,1)=$A21)*(INDEX(INDICES,5,)=H$14),INDEX(INDICES,,),0)),NA())</f>
        <v>112.3</v>
      </c>
      <c r="K21" t="str">
        <v>Travail activités spécialisées</v>
      </c>
      <c r="L21" s="105">
        <v>0</v>
      </c>
      <c r="M21" t="str">
        <v>Frais divers</v>
      </c>
      <c r="N21">
        <v>0.01</v>
      </c>
      <c r="P21" t="s">
        <v>61</v>
      </c>
      <c r="Q21" t="str">
        <v>Transports routiers</v>
      </c>
      <c r="R21" s="21">
        <v>4.2897612302711607E-2</v>
      </c>
      <c r="S21" s="21">
        <v>4.4906234161176117E-2</v>
      </c>
      <c r="T21" s="171"/>
    </row>
    <row r="22" spans="1:20" x14ac:dyDescent="0.25">
      <c r="A22" s="1">
        <f t="shared" si="0"/>
        <v>43922</v>
      </c>
      <c r="B22" s="121" cm="1">
        <f t="array" ref="B22">IF(A22&lt;=DATE3,SUM(IF((INDEX(INDEX,,1)=A22)*(INDEX(INDEX,3,)="TP01"),INDEX(INDEX,,),0)),"")</f>
        <v>108.9</v>
      </c>
      <c r="C22" s="94" cm="1">
        <f t="array" ref="C22">IF(A22&lt;=DATE3,SUM(IF((INDEX(INDEX,,1)=A22)*(INDEX(INDEX,3,)=C14),INDEX(INDEX,,),0)),"")</f>
        <v>114.4</v>
      </c>
      <c r="D22" s="33" cm="1">
        <f t="array" ref="D22">IF($A22&lt;=DATE4,SUM(IF((INDEX(INDICES,,1)=$A22)*(INDEX(INDICES,5,)=D$14),INDEX(INDICES,,),0)),NA())</f>
        <v>105.5</v>
      </c>
      <c r="E22" s="33" cm="1">
        <f t="array" ref="E22">IF($A22&lt;=DATE4,SUM(IF((INDEX(INDICES,,1)=$A22)*(INDEX(INDICES,5,)=E$14),INDEX(INDICES,,),0)),NA())</f>
        <v>123.6</v>
      </c>
      <c r="F22" s="33" cm="1">
        <f t="array" ref="F22">IF($A22&lt;=DATE4,SUM(IF((INDEX(INDICES,,1)=$A22)*(INDEX(INDICES,5,)=F$14),INDEX(INDICES,,),0)),NA())</f>
        <v>92.243761406204982</v>
      </c>
      <c r="G22" s="33" cm="1">
        <f t="array" ref="G22">IF($A22&lt;=DATE4,SUM(IF((INDEX(INDICES,,1)=$A22)*(INDEX(INDICES,5,)=G$14),INDEX(INDICES,,),0)),NA())</f>
        <v>102.7</v>
      </c>
      <c r="H22" s="33" cm="1">
        <f t="array" ref="H22">IF($A22&lt;=DATE4,SUM(IF((INDEX(INDICES,,1)=$A22)*(INDEX(INDICES,5,)=H$14),INDEX(INDICES,,),0)),NA())</f>
        <v>112.1</v>
      </c>
      <c r="K22" t="str">
        <v>Électricité vendue aux entreprises consommatrices finales</v>
      </c>
      <c r="L22" s="105">
        <v>0.01</v>
      </c>
      <c r="M22" t="str">
        <v>Transports routiers</v>
      </c>
      <c r="N22">
        <v>0.01</v>
      </c>
      <c r="P22" t="s">
        <v>62</v>
      </c>
      <c r="Q22" t="str">
        <v>Électricité vendue aux entreprises consommatrices finales</v>
      </c>
      <c r="R22" s="21">
        <v>0.14841341795104257</v>
      </c>
      <c r="S22" s="21">
        <v>0.19635436343029844</v>
      </c>
      <c r="T22" s="171"/>
    </row>
    <row r="23" spans="1:20" x14ac:dyDescent="0.25">
      <c r="A23" s="1">
        <f t="shared" si="0"/>
        <v>43952</v>
      </c>
      <c r="B23" s="121" cm="1">
        <f t="array" ref="B23">IF(A23&lt;=DATE3,SUM(IF((INDEX(INDEX,,1)=A23)*(INDEX(INDEX,3,)="TP01"),INDEX(INDEX,,),0)),"")</f>
        <v>108.7</v>
      </c>
      <c r="C23" s="94" cm="1">
        <f t="array" ref="C23">IF(A23&lt;=DATE3,SUM(IF((INDEX(INDEX,,1)=A23)*(INDEX(INDEX,3,)=C14),INDEX(INDEX,,),0)),"")</f>
        <v>114.2</v>
      </c>
      <c r="D23" s="33" cm="1">
        <f t="array" ref="D23">IF($A23&lt;=DATE4,SUM(IF((INDEX(INDICES,,1)=$A23)*(INDEX(INDICES,5,)=D$14),INDEX(INDICES,,),0)),NA())</f>
        <v>104.9</v>
      </c>
      <c r="E23" s="33" cm="1">
        <f t="array" ref="E23">IF($A23&lt;=DATE4,SUM(IF((INDEX(INDICES,,1)=$A23)*(INDEX(INDICES,5,)=E$14),INDEX(INDICES,,),0)),NA())</f>
        <v>123.8</v>
      </c>
      <c r="F23" s="33" cm="1">
        <f t="array" ref="F23">IF($A23&lt;=DATE4,SUM(IF((INDEX(INDICES,,1)=$A23)*(INDEX(INDICES,5,)=F$14),INDEX(INDICES,,),0)),NA())</f>
        <v>92.932456056094523</v>
      </c>
      <c r="G23" s="33" cm="1">
        <f t="array" ref="G23">IF($A23&lt;=DATE4,SUM(IF((INDEX(INDICES,,1)=$A23)*(INDEX(INDICES,5,)=G$14),INDEX(INDICES,,),0)),NA())</f>
        <v>104.4</v>
      </c>
      <c r="H23" s="33" cm="1">
        <f t="array" ref="H23">IF($A23&lt;=DATE4,SUM(IF((INDEX(INDICES,,1)=$A23)*(INDEX(INDICES,5,)=H$14),INDEX(INDICES,,),0)),NA())</f>
        <v>111.3</v>
      </c>
      <c r="K23" t="str">
        <v>Gaz naturel</v>
      </c>
      <c r="L23" s="105">
        <v>0</v>
      </c>
      <c r="M23" t="str">
        <v>Électricité vendue aux entreprises consommatrices finales</v>
      </c>
      <c r="N23">
        <v>0.01</v>
      </c>
      <c r="P23" s="221" t="s">
        <v>296</v>
      </c>
      <c r="Q23" t="str">
        <v>Gaz naturel</v>
      </c>
      <c r="R23" s="21">
        <v>3.41726075652101</v>
      </c>
      <c r="S23" s="21">
        <v>13.907161052929522</v>
      </c>
      <c r="T23" s="171"/>
    </row>
    <row r="24" spans="1:20" x14ac:dyDescent="0.25">
      <c r="A24" s="1">
        <f t="shared" si="0"/>
        <v>43983</v>
      </c>
      <c r="B24" s="121" cm="1">
        <f t="array" ref="B24">IF(A24&lt;=DATE3,SUM(IF((INDEX(INDEX,,1)=A24)*(INDEX(INDEX,3,)="TP01"),INDEX(INDEX,,),0)),"")</f>
        <v>108.8</v>
      </c>
      <c r="C24" s="94" cm="1">
        <f t="array" ref="C24">IF(A24&lt;=DATE3,SUM(IF((INDEX(INDEX,,1)=A24)*(INDEX(INDEX,3,)=C14),INDEX(INDEX,,),0)),"")</f>
        <v>113.7</v>
      </c>
      <c r="D24" s="33" cm="1">
        <f t="array" ref="D24">IF($A24&lt;=DATE4,SUM(IF((INDEX(INDICES,,1)=$A24)*(INDEX(INDICES,5,)=D$14),INDEX(INDICES,,),0)),NA())</f>
        <v>103</v>
      </c>
      <c r="E24" s="33" cm="1">
        <f t="array" ref="E24">IF($A24&lt;=DATE4,SUM(IF((INDEX(INDICES,,1)=$A24)*(INDEX(INDICES,5,)=E$14),INDEX(INDICES,,),0)),NA())</f>
        <v>124</v>
      </c>
      <c r="F24" s="33" cm="1">
        <f t="array" ref="F24">IF($A24&lt;=DATE4,SUM(IF((INDEX(INDICES,,1)=$A24)*(INDEX(INDICES,5,)=F$14),INDEX(INDICES,,),0)),NA())</f>
        <v>98.758812794160036</v>
      </c>
      <c r="G24" s="33" cm="1">
        <f t="array" ref="G24">IF($A24&lt;=DATE4,SUM(IF((INDEX(INDICES,,1)=$A24)*(INDEX(INDICES,5,)=G$14),INDEX(INDICES,,),0)),NA())</f>
        <v>105.4</v>
      </c>
      <c r="H24" s="33" cm="1">
        <f t="array" ref="H24">IF($A24&lt;=DATE4,SUM(IF((INDEX(INDICES,,1)=$A24)*(INDEX(INDICES,5,)=H$14),INDEX(INDICES,,),0)),NA())</f>
        <v>109.7</v>
      </c>
      <c r="K24" t="str">
        <v>Gazole routier HTT</v>
      </c>
      <c r="L24" s="105">
        <v>0</v>
      </c>
      <c r="M24" t="str">
        <v>GNR</v>
      </c>
      <c r="N24">
        <v>0</v>
      </c>
      <c r="P24" t="s">
        <v>64</v>
      </c>
      <c r="Q24" t="str">
        <v>Gazole routier HTT</v>
      </c>
      <c r="R24" s="21">
        <v>0.67861438811862906</v>
      </c>
      <c r="S24" s="21">
        <v>1.2356522298301886</v>
      </c>
      <c r="T24" s="171"/>
    </row>
    <row r="25" spans="1:20" x14ac:dyDescent="0.25">
      <c r="A25" s="1">
        <f t="shared" si="0"/>
        <v>44013</v>
      </c>
      <c r="B25" s="121" cm="1">
        <f t="array" ref="B25">IF(A25&lt;=DATE3,SUM(IF((INDEX(INDEX,,1)=A25)*(INDEX(INDEX,3,)="TP01"),INDEX(INDEX,,),0)),"")</f>
        <v>109.9</v>
      </c>
      <c r="C25" s="94" cm="1">
        <f t="array" ref="C25">IF(A25&lt;=DATE3,SUM(IF((INDEX(INDEX,,1)=A25)*(INDEX(INDEX,3,)=C14),INDEX(INDEX,,),0)),"")</f>
        <v>113.7</v>
      </c>
      <c r="D25" s="33" cm="1">
        <f t="array" ref="D25">IF($A25&lt;=DATE4,SUM(IF((INDEX(INDICES,,1)=$A25)*(INDEX(INDICES,5,)=D$14),INDEX(INDICES,,),0)),NA())</f>
        <v>102.6</v>
      </c>
      <c r="E25" s="33" cm="1">
        <f t="array" ref="E25">IF($A25&lt;=DATE4,SUM(IF((INDEX(INDICES,,1)=$A25)*(INDEX(INDICES,5,)=E$14),INDEX(INDICES,,),0)),NA())</f>
        <v>123.8</v>
      </c>
      <c r="F25" s="33" cm="1">
        <f t="array" ref="F25">IF($A25&lt;=DATE4,SUM(IF((INDEX(INDICES,,1)=$A25)*(INDEX(INDICES,5,)=F$14),INDEX(INDICES,,),0)),NA())</f>
        <v>100.37035827490156</v>
      </c>
      <c r="G25" s="33" cm="1">
        <f t="array" ref="G25">IF($A25&lt;=DATE4,SUM(IF((INDEX(INDICES,,1)=$A25)*(INDEX(INDICES,5,)=G$14),INDEX(INDICES,,),0)),NA())</f>
        <v>105.6</v>
      </c>
      <c r="H25" s="33" cm="1">
        <f t="array" ref="H25">IF($A25&lt;=DATE4,SUM(IF((INDEX(INDICES,,1)=$A25)*(INDEX(INDICES,5,)=H$14),INDEX(INDICES,,),0)),NA())</f>
        <v>108</v>
      </c>
      <c r="K25" t="str">
        <v>Tubes, tuyaux en matière plastique</v>
      </c>
      <c r="L25" s="105">
        <v>0.04</v>
      </c>
      <c r="M25" t="str">
        <v>Gazole</v>
      </c>
      <c r="N25">
        <v>0</v>
      </c>
      <c r="P25" t="s">
        <v>65</v>
      </c>
      <c r="Q25" t="str">
        <v>Tubes, tuyaux en matière plastique</v>
      </c>
      <c r="R25" s="21">
        <v>0.19917554795897852</v>
      </c>
      <c r="S25" s="21">
        <v>0.32536948549838884</v>
      </c>
      <c r="T25" s="171"/>
    </row>
    <row r="26" spans="1:20" x14ac:dyDescent="0.25">
      <c r="A26" s="1">
        <f t="shared" si="0"/>
        <v>44044</v>
      </c>
      <c r="B26" s="121" cm="1">
        <f t="array" ref="B26">IF(A26&lt;=DATE3,SUM(IF((INDEX(INDEX,,1)=A26)*(INDEX(INDEX,3,)="TP01"),INDEX(INDEX,,),0)),"")</f>
        <v>110</v>
      </c>
      <c r="C26" s="94" cm="1">
        <f t="array" ref="C26">IF(A26&lt;=DATE3,SUM(IF((INDEX(INDEX,,1)=A26)*(INDEX(INDEX,3,)=C14),INDEX(INDEX,,),0)),"")</f>
        <v>113.8</v>
      </c>
      <c r="D26" s="33" cm="1">
        <f t="array" ref="D26">IF($A26&lt;=DATE4,SUM(IF((INDEX(INDICES,,1)=$A26)*(INDEX(INDICES,5,)=D$14),INDEX(INDICES,,),0)),NA())</f>
        <v>102.8</v>
      </c>
      <c r="E26" s="33" cm="1">
        <f t="array" ref="E26">IF($A26&lt;=DATE4,SUM(IF((INDEX(INDICES,,1)=$A26)*(INDEX(INDICES,5,)=E$14),INDEX(INDICES,,),0)),NA())</f>
        <v>123.7</v>
      </c>
      <c r="F26" s="33" cm="1">
        <f t="array" ref="F26">IF($A26&lt;=DATE4,SUM(IF((INDEX(INDICES,,1)=$A26)*(INDEX(INDICES,5,)=F$14),INDEX(INDICES,,),0)),NA())</f>
        <v>99.06183844011143</v>
      </c>
      <c r="G26" s="33" cm="1">
        <f t="array" ref="G26">IF($A26&lt;=DATE4,SUM(IF((INDEX(INDICES,,1)=$A26)*(INDEX(INDICES,5,)=G$14),INDEX(INDICES,,),0)),NA())</f>
        <v>105.4</v>
      </c>
      <c r="H26" s="33" cm="1">
        <f t="array" ref="H26">IF($A26&lt;=DATE4,SUM(IF((INDEX(INDICES,,1)=$A26)*(INDEX(INDICES,5,)=H$14),INDEX(INDICES,,),0)),NA())</f>
        <v>107.4</v>
      </c>
      <c r="K26" t="str">
        <v>Ensemble des produits du sciage</v>
      </c>
      <c r="L26" s="105">
        <v>0.02</v>
      </c>
      <c r="M26" t="str">
        <v>Travail activités spécialisées</v>
      </c>
      <c r="N26">
        <v>0</v>
      </c>
      <c r="P26" t="s">
        <v>66</v>
      </c>
      <c r="Q26" t="str">
        <v>Ensemble des produits du sciage</v>
      </c>
      <c r="R26" s="21">
        <v>0.26293333333333324</v>
      </c>
      <c r="S26" s="21">
        <v>0.47830610758505898</v>
      </c>
      <c r="T26" s="171"/>
    </row>
    <row r="27" spans="1:20" x14ac:dyDescent="0.25">
      <c r="A27" s="1">
        <f t="shared" si="0"/>
        <v>44075</v>
      </c>
      <c r="B27" s="121" cm="1">
        <f t="array" ref="B27">IF(A27&lt;=DATE3,SUM(IF((INDEX(INDEX,,1)=A27)*(INDEX(INDEX,3,)="TP01"),INDEX(INDEX,,),0)),"")</f>
        <v>110.1</v>
      </c>
      <c r="C27" s="94" cm="1">
        <f t="array" ref="C27">IF(A27&lt;=DATE3,SUM(IF((INDEX(INDEX,,1)=A27)*(INDEX(INDEX,3,)=C14),INDEX(INDEX,,),0)),"")</f>
        <v>114.4</v>
      </c>
      <c r="D27" s="33" cm="1">
        <f t="array" ref="D27">IF($A27&lt;=DATE4,SUM(IF((INDEX(INDICES,,1)=$A27)*(INDEX(INDICES,5,)=D$14),INDEX(INDICES,,),0)),NA())</f>
        <v>104.4</v>
      </c>
      <c r="E27" s="33" cm="1">
        <f t="array" ref="E27">IF($A27&lt;=DATE4,SUM(IF((INDEX(INDICES,,1)=$A27)*(INDEX(INDICES,5,)=E$14),INDEX(INDICES,,),0)),NA())</f>
        <v>123.6</v>
      </c>
      <c r="F27" s="33" cm="1">
        <f t="array" ref="F27">IF($A27&lt;=DATE4,SUM(IF((INDEX(INDICES,,1)=$A27)*(INDEX(INDICES,5,)=F$14),INDEX(INDICES,,),0)),NA())</f>
        <v>94.034367495917806</v>
      </c>
      <c r="G27" s="33" cm="1">
        <f t="array" ref="G27">IF($A27&lt;=DATE4,SUM(IF((INDEX(INDICES,,1)=$A27)*(INDEX(INDICES,5,)=G$14),INDEX(INDICES,,),0)),NA())</f>
        <v>106.5</v>
      </c>
      <c r="H27" s="33" cm="1">
        <f t="array" ref="H27">IF($A27&lt;=DATE4,SUM(IF((INDEX(INDICES,,1)=$A27)*(INDEX(INDICES,5,)=H$14),INDEX(INDICES,,),0)),NA())</f>
        <v>108.5</v>
      </c>
      <c r="I27" s="36"/>
      <c r="K27" t="str">
        <v>Béton prêt à l'emploi</v>
      </c>
      <c r="L27" s="105">
        <v>0.12</v>
      </c>
      <c r="M27" t="str">
        <v>Gaz naturel</v>
      </c>
      <c r="N27">
        <v>0</v>
      </c>
      <c r="P27" t="s">
        <v>67</v>
      </c>
      <c r="Q27" t="str">
        <v>Béton prêt à l'emploi</v>
      </c>
      <c r="R27" s="21">
        <v>5.5102467586783721E-2</v>
      </c>
      <c r="S27" s="21">
        <v>7.0776740237691094E-2</v>
      </c>
      <c r="T27" s="171"/>
    </row>
    <row r="28" spans="1:20" x14ac:dyDescent="0.25">
      <c r="A28" s="1">
        <f t="shared" si="0"/>
        <v>44105</v>
      </c>
      <c r="B28" s="121" cm="1">
        <f t="array" ref="B28">IF(A28&lt;=DATE3,SUM(IF((INDEX(INDEX,,1)=A28)*(INDEX(INDEX,3,)="TP01"),INDEX(INDEX,,),0)),"")</f>
        <v>109.5</v>
      </c>
      <c r="C28" s="94" cm="1">
        <f t="array" ref="C28">IF(A28&lt;=DATE3,SUM(IF((INDEX(INDEX,,1)=A28)*(INDEX(INDEX,3,)=C14),INDEX(INDEX,,),0)),"")</f>
        <v>114.4</v>
      </c>
      <c r="D28" s="33" cm="1">
        <f t="array" ref="D28">IF($A28&lt;=DATE4,SUM(IF((INDEX(INDICES,,1)=$A28)*(INDEX(INDICES,5,)=D$14),INDEX(INDICES,,),0)),NA())</f>
        <v>104.1</v>
      </c>
      <c r="E28" s="33" cm="1">
        <f t="array" ref="E28">IF($A28&lt;=DATE4,SUM(IF((INDEX(INDICES,,1)=$A28)*(INDEX(INDICES,5,)=E$14),INDEX(INDICES,,),0)),NA())</f>
        <v>123.5</v>
      </c>
      <c r="F28" s="33" cm="1">
        <f t="array" ref="F28">IF($A28&lt;=DATE4,SUM(IF((INDEX(INDICES,,1)=$A28)*(INDEX(INDICES,5,)=F$14),INDEX(INDICES,,),0)),NA())</f>
        <v>95.632139083661556</v>
      </c>
      <c r="G28" s="33" cm="1">
        <f t="array" ref="G28">IF($A28&lt;=DATE4,SUM(IF((INDEX(INDICES,,1)=$A28)*(INDEX(INDICES,5,)=G$14),INDEX(INDICES,,),0)),NA())</f>
        <v>105.9</v>
      </c>
      <c r="H28" s="33" cm="1">
        <f t="array" ref="H28">IF($A28&lt;=DATE4,SUM(IF((INDEX(INDICES,,1)=$A28)*(INDEX(INDICES,5,)=H$14),INDEX(INDICES,,),0)),NA())</f>
        <v>110.7</v>
      </c>
      <c r="K28" t="str">
        <v>Barres crénelées ou nervurées pour béton armé</v>
      </c>
      <c r="L28" s="105">
        <v>0.09</v>
      </c>
      <c r="M28" t="str">
        <v>Gazole routier HTT</v>
      </c>
      <c r="N28">
        <v>0</v>
      </c>
      <c r="P28" t="s">
        <v>68</v>
      </c>
      <c r="Q28" t="str">
        <v>Barres crénelées ou nervurées pour béton armé</v>
      </c>
      <c r="R28" s="21">
        <v>0.43733296786130316</v>
      </c>
      <c r="S28" s="21">
        <v>1.1071930882057464</v>
      </c>
      <c r="T28" s="171"/>
    </row>
    <row r="29" spans="1:20" x14ac:dyDescent="0.25">
      <c r="A29" s="1">
        <f t="shared" si="0"/>
        <v>44136</v>
      </c>
      <c r="B29" s="121" cm="1">
        <f t="array" ref="B29">IF(A29&lt;=DATE3,SUM(IF((INDEX(INDEX,,1)=A29)*(INDEX(INDEX,3,)="TP01"),INDEX(INDEX,,),0)),"")</f>
        <v>109.5</v>
      </c>
      <c r="C29" s="94" cm="1">
        <f t="array" ref="C29">IF(A29&lt;=DATE3,SUM(IF((INDEX(INDEX,,1)=A29)*(INDEX(INDEX,3,)=C14),INDEX(INDEX,,),0)),"")</f>
        <v>114.5</v>
      </c>
      <c r="D29" s="33" cm="1">
        <f t="array" ref="D29">IF($A29&lt;=DATE4,SUM(IF((INDEX(INDICES,,1)=$A29)*(INDEX(INDICES,5,)=D$14),INDEX(INDICES,,),0)),NA())</f>
        <v>104.4</v>
      </c>
      <c r="E29" s="33" cm="1">
        <f t="array" ref="E29">IF($A29&lt;=DATE4,SUM(IF((INDEX(INDICES,,1)=$A29)*(INDEX(INDICES,5,)=E$14),INDEX(INDICES,,),0)),NA())</f>
        <v>123.5</v>
      </c>
      <c r="F29" s="33" cm="1">
        <f t="array" ref="F29">IF($A29&lt;=DATE4,SUM(IF((INDEX(INDICES,,1)=$A29)*(INDEX(INDICES,5,)=F$14),INDEX(INDICES,,),0)),NA())</f>
        <v>98.634847757179941</v>
      </c>
      <c r="G29" s="33" cm="1">
        <f t="array" ref="G29">IF($A29&lt;=DATE4,SUM(IF((INDEX(INDICES,,1)=$A29)*(INDEX(INDICES,5,)=G$14),INDEX(INDICES,,),0)),NA())</f>
        <v>105.4</v>
      </c>
      <c r="H29" s="33" cm="1">
        <f t="array" ref="H29">IF($A29&lt;=DATE4,SUM(IF((INDEX(INDICES,,1)=$A29)*(INDEX(INDICES,5,)=H$14),INDEX(INDICES,,),0)),NA())</f>
        <v>112.6</v>
      </c>
      <c r="K29" t="str">
        <v>Sables et granulats</v>
      </c>
      <c r="L29" s="105">
        <v>0</v>
      </c>
      <c r="M29" t="str">
        <v>Sables et granulats</v>
      </c>
      <c r="N29">
        <v>0</v>
      </c>
      <c r="P29" t="s">
        <v>69</v>
      </c>
      <c r="Q29" t="str">
        <v>Sables et granulats</v>
      </c>
      <c r="R29" s="21">
        <v>3.8867000319454892E-2</v>
      </c>
      <c r="S29" s="21">
        <v>5.1973258572352687E-2</v>
      </c>
      <c r="T29" s="171"/>
    </row>
    <row r="30" spans="1:20" x14ac:dyDescent="0.25">
      <c r="A30" s="1">
        <f t="shared" si="0"/>
        <v>44166</v>
      </c>
      <c r="B30" s="121" cm="1">
        <f t="array" ref="B30">IF(A30&lt;=DATE3,SUM(IF((INDEX(INDEX,,1)=A30)*(INDEX(INDEX,3,)="TP01"),INDEX(INDEX,,),0)),"")</f>
        <v>109.8</v>
      </c>
      <c r="C30" s="94" cm="1">
        <f t="array" ref="C30">IF(A30&lt;=DATE3,SUM(IF((INDEX(INDEX,,1)=A30)*(INDEX(INDEX,3,)=C14),INDEX(INDEX,,),0)),"")</f>
        <v>114.9</v>
      </c>
      <c r="D30" s="33" cm="1">
        <f t="array" ref="D30">IF($A30&lt;=DATE4,SUM(IF((INDEX(INDICES,,1)=$A30)*(INDEX(INDICES,5,)=D$14),INDEX(INDICES,,),0)),NA())</f>
        <v>104.4</v>
      </c>
      <c r="E30" s="33" cm="1">
        <f t="array" ref="E30">IF($A30&lt;=DATE4,SUM(IF((INDEX(INDICES,,1)=$A30)*(INDEX(INDICES,5,)=E$14),INDEX(INDICES,,),0)),NA())</f>
        <v>123.4</v>
      </c>
      <c r="F30" s="33" cm="1">
        <f t="array" ref="F30">IF($A30&lt;=DATE4,SUM(IF((INDEX(INDICES,,1)=$A30)*(INDEX(INDICES,5,)=F$14),INDEX(INDICES,,),0)),NA())</f>
        <v>103.4970319854001</v>
      </c>
      <c r="G30" s="33" cm="1">
        <f t="array" ref="G30">IF($A30&lt;=DATE4,SUM(IF((INDEX(INDICES,,1)=$A30)*(INDEX(INDICES,5,)=G$14),INDEX(INDICES,,),0)),NA())</f>
        <v>104.7</v>
      </c>
      <c r="H30" s="33" cm="1">
        <f t="array" ref="H30">IF($A30&lt;=DATE4,SUM(IF((INDEX(INDICES,,1)=$A30)*(INDEX(INDICES,5,)=H$14),INDEX(INDICES,,),0)),NA())</f>
        <v>116.1</v>
      </c>
      <c r="K30" t="str">
        <v>Plaques, feuilles, tubes et profilés en matières plastiques</v>
      </c>
      <c r="L30" s="105">
        <v>0</v>
      </c>
      <c r="M30" t="str">
        <v>Plaques, feuilles, tubes et profilés en matières plastiques</v>
      </c>
      <c r="N30">
        <v>0</v>
      </c>
      <c r="P30" t="s">
        <v>70</v>
      </c>
      <c r="Q30" t="str">
        <v>Plaques, feuilles, tubes et profilés en matières plastiques</v>
      </c>
      <c r="R30" s="21">
        <v>0.21830985915492973</v>
      </c>
      <c r="S30" s="21">
        <v>0.39935290039288196</v>
      </c>
      <c r="T30" s="171"/>
    </row>
    <row r="31" spans="1:20" x14ac:dyDescent="0.25">
      <c r="A31" s="1">
        <f t="shared" si="0"/>
        <v>44197</v>
      </c>
      <c r="B31" s="121" cm="1">
        <f t="array" ref="B31">IF(A31&lt;=DATE3,SUM(IF((INDEX(INDEX,,1)=A31)*(INDEX(INDEX,3,)="TP01"),INDEX(INDEX,,),0)),"")</f>
        <v>111.2</v>
      </c>
      <c r="C31" s="94" cm="1">
        <f t="array" ref="C31">IF(A31&lt;=DATE3,SUM(IF((INDEX(INDEX,,1)=A31)*(INDEX(INDEX,3,)=C14),INDEX(INDEX,,),0)),"")</f>
        <v>116.3</v>
      </c>
      <c r="D31" s="33" cm="1">
        <f t="array" ref="D31">IF($A31&lt;=DATE4,SUM(IF((INDEX(INDICES,,1)=$A31)*(INDEX(INDICES,5,)=D$14),INDEX(INDICES,,),0)),NA())</f>
        <v>104.5</v>
      </c>
      <c r="E31" s="33" cm="1">
        <f t="array" ref="E31">IF($A31&lt;=DATE4,SUM(IF((INDEX(INDICES,,1)=$A31)*(INDEX(INDICES,5,)=E$14),INDEX(INDICES,,),0)),NA())</f>
        <v>123.4</v>
      </c>
      <c r="F31" s="33" cm="1">
        <f t="array" ref="F31">IF($A31&lt;=DATE4,SUM(IF((INDEX(INDICES,,1)=$A31)*(INDEX(INDICES,5,)=F$14),INDEX(INDICES,,),0)),NA())</f>
        <v>110.08095283834412</v>
      </c>
      <c r="G31" s="33" cm="1">
        <f t="array" ref="G31">IF($A31&lt;=DATE4,SUM(IF((INDEX(INDICES,,1)=$A31)*(INDEX(INDICES,5,)=G$14),INDEX(INDICES,,),0)),NA())</f>
        <v>105.8</v>
      </c>
      <c r="H31" s="33" cm="1">
        <f t="array" ref="H31">IF($A31&lt;=DATE4,SUM(IF((INDEX(INDICES,,1)=$A31)*(INDEX(INDICES,5,)=H$14),INDEX(INDICES,,),0)),NA())</f>
        <v>130.80000000000001</v>
      </c>
      <c r="K31" t="str">
        <v>Ciment, chaux et plâtre</v>
      </c>
      <c r="L31" s="105">
        <v>0</v>
      </c>
      <c r="M31" t="str">
        <v>Ciment, chaux et plâtre</v>
      </c>
      <c r="N31">
        <v>0</v>
      </c>
      <c r="P31" t="s">
        <v>71</v>
      </c>
      <c r="Q31" t="str">
        <v>Ciment, chaux et plâtre</v>
      </c>
      <c r="R31" s="21">
        <v>0.22091295116772813</v>
      </c>
      <c r="S31" s="21">
        <v>0.24591051890369386</v>
      </c>
      <c r="T31" s="171"/>
    </row>
    <row r="32" spans="1:20" x14ac:dyDescent="0.25">
      <c r="A32" s="1">
        <f t="shared" si="0"/>
        <v>44228</v>
      </c>
      <c r="B32" s="121" cm="1">
        <f t="array" ref="B32">IF(A32&lt;=DATE3,SUM(IF((INDEX(INDEX,,1)=A32)*(INDEX(INDEX,3,)="TP01"),INDEX(INDEX,,),0)),"")</f>
        <v>112.1</v>
      </c>
      <c r="C32" s="94" cm="1">
        <f t="array" ref="C32">IF(A32&lt;=DATE3,SUM(IF((INDEX(INDEX,,1)=A32)*(INDEX(INDEX,3,)=C14),INDEX(INDEX,,),0)),"")</f>
        <v>117.2</v>
      </c>
      <c r="D32" s="33" cm="1">
        <f t="array" ref="D32">IF($A32&lt;=DATE4,SUM(IF((INDEX(INDICES,,1)=$A32)*(INDEX(INDICES,5,)=D$14),INDEX(INDICES,,),0)),NA())</f>
        <v>104.5</v>
      </c>
      <c r="E32" s="33" cm="1">
        <f t="array" ref="E32">IF($A32&lt;=DATE4,SUM(IF((INDEX(INDICES,,1)=$A32)*(INDEX(INDICES,5,)=E$14),INDEX(INDICES,,),0)),NA())</f>
        <v>123.3</v>
      </c>
      <c r="F32" s="33" cm="1">
        <f t="array" ref="F32">IF($A32&lt;=DATE4,SUM(IF((INDEX(INDICES,,1)=$A32)*(INDEX(INDICES,5,)=F$14),INDEX(INDICES,,),0)),NA())</f>
        <v>117.68414177312464</v>
      </c>
      <c r="G32" s="33" cm="1">
        <f t="array" ref="G32">IF($A32&lt;=DATE4,SUM(IF((INDEX(INDICES,,1)=$A32)*(INDEX(INDICES,5,)=G$14),INDEX(INDICES,,),0)),NA())</f>
        <v>105.9</v>
      </c>
      <c r="H32" s="33" cm="1">
        <f t="array" ref="H32">IF($A32&lt;=DATE4,SUM(IF((INDEX(INDICES,,1)=$A32)*(INDEX(INDICES,5,)=H$14),INDEX(INDICES,,),0)),NA())</f>
        <v>139.19999999999999</v>
      </c>
      <c r="K32" t="str">
        <v>Autres produits chimiques</v>
      </c>
      <c r="L32" s="105">
        <v>0</v>
      </c>
      <c r="M32" t="str">
        <v>Autres produits chimiques</v>
      </c>
      <c r="N32">
        <v>0</v>
      </c>
      <c r="P32" t="s">
        <v>72</v>
      </c>
      <c r="Q32" t="str">
        <v>Autres produits chimiques</v>
      </c>
      <c r="R32" s="21">
        <v>0.36238990284209627</v>
      </c>
      <c r="S32" s="21">
        <v>0.49695699890252465</v>
      </c>
      <c r="T32" s="171"/>
    </row>
    <row r="33" spans="1:20" x14ac:dyDescent="0.25">
      <c r="A33" s="1">
        <f t="shared" si="0"/>
        <v>44256</v>
      </c>
      <c r="B33" s="121" cm="1">
        <f t="array" ref="B33">IF(A33&lt;=DATE3,SUM(IF((INDEX(INDEX,,1)=A33)*(INDEX(INDEX,3,)="TP01"),INDEX(INDEX,,),0)),"")</f>
        <v>113.5</v>
      </c>
      <c r="C33" s="94" cm="1">
        <f t="array" ref="C33">IF(A33&lt;=DATE3,SUM(IF((INDEX(INDEX,,1)=A33)*(INDEX(INDEX,3,)=C14),INDEX(INDEX,,),0)),"")</f>
        <v>118.3</v>
      </c>
      <c r="D33" s="33" cm="1">
        <f t="array" ref="D33">IF($A33&lt;=DATE4,SUM(IF((INDEX(INDICES,,1)=$A33)*(INDEX(INDICES,5,)=D$14),INDEX(INDICES,,),0)),NA())</f>
        <v>107.6</v>
      </c>
      <c r="E33" s="33" cm="1">
        <f t="array" ref="E33">IF($A33&lt;=DATE4,SUM(IF((INDEX(INDICES,,1)=$A33)*(INDEX(INDICES,5,)=E$14),INDEX(INDICES,,),0)),NA())</f>
        <v>123.3</v>
      </c>
      <c r="F33" s="33" cm="1">
        <f t="array" ref="F33">IF($A33&lt;=DATE4,SUM(IF((INDEX(INDICES,,1)=$A33)*(INDEX(INDICES,5,)=F$14),INDEX(INDICES,,),0)),NA())</f>
        <v>120.96232830659883</v>
      </c>
      <c r="G33" s="33" cm="1">
        <f t="array" ref="G33">IF($A33&lt;=DATE4,SUM(IF((INDEX(INDICES,,1)=$A33)*(INDEX(INDICES,5,)=G$14),INDEX(INDICES,,),0)),NA())</f>
        <v>106.2</v>
      </c>
      <c r="H33" s="33" cm="1">
        <f t="array" ref="H33">IF($A33&lt;=DATE4,SUM(IF((INDEX(INDICES,,1)=$A33)*(INDEX(INDICES,5,)=H$14),INDEX(INDICES,,),0)),NA())</f>
        <v>144.6</v>
      </c>
      <c r="K33" t="str">
        <v>Acier pour la construction</v>
      </c>
      <c r="L33" s="105">
        <v>0</v>
      </c>
      <c r="M33" t="str">
        <v>Acier pour la construction</v>
      </c>
      <c r="N33">
        <v>0</v>
      </c>
      <c r="P33" t="s">
        <v>73</v>
      </c>
      <c r="Q33" t="str">
        <v>Acier pour la construction</v>
      </c>
      <c r="R33" s="21">
        <v>0.49281822684497301</v>
      </c>
      <c r="S33" s="21">
        <v>1.153736218864843</v>
      </c>
      <c r="T33" s="171"/>
    </row>
    <row r="34" spans="1:20" x14ac:dyDescent="0.25">
      <c r="A34" s="1">
        <f t="shared" si="0"/>
        <v>44287</v>
      </c>
      <c r="B34" s="121" cm="1">
        <f t="array" ref="B34">IF(A34&lt;=DATE3,SUM(IF((INDEX(INDEX,,1)=A34)*(INDEX(INDEX,3,)="TP01"),INDEX(INDEX,,),0)),"")</f>
        <v>113.8</v>
      </c>
      <c r="C34" s="94" cm="1">
        <f t="array" ref="C34">IF(A34&lt;=DATE3,SUM(IF((INDEX(INDEX,,1)=A34)*(INDEX(INDEX,3,)=C14),INDEX(INDEX,,),0)),"")</f>
        <v>118.9</v>
      </c>
      <c r="D34" s="33" cm="1">
        <f t="array" ref="D34">IF($A34&lt;=DATE4,SUM(IF((INDEX(INDICES,,1)=$A34)*(INDEX(INDICES,5,)=D$14),INDEX(INDICES,,),0)),NA())</f>
        <v>107.8</v>
      </c>
      <c r="E34" s="33" cm="1">
        <f t="array" ref="E34">IF($A34&lt;=DATE4,SUM(IF((INDEX(INDICES,,1)=$A34)*(INDEX(INDICES,5,)=E$14),INDEX(INDICES,,),0)),NA())</f>
        <v>123</v>
      </c>
      <c r="F34" s="33" cm="1">
        <f t="array" ref="F34">IF($A34&lt;=DATE4,SUM(IF((INDEX(INDICES,,1)=$A34)*(INDEX(INDICES,5,)=F$14),INDEX(INDICES,,),0)),NA())</f>
        <v>117.44998559216218</v>
      </c>
      <c r="G34" s="33" cm="1">
        <f t="array" ref="G34">IF($A34&lt;=DATE4,SUM(IF((INDEX(INDICES,,1)=$A34)*(INDEX(INDICES,5,)=G$14),INDEX(INDICES,,),0)),NA())</f>
        <v>106.4</v>
      </c>
      <c r="H34" s="33" cm="1">
        <f t="array" ref="H34">IF($A34&lt;=DATE4,SUM(IF((INDEX(INDICES,,1)=$A34)*(INDEX(INDICES,5,)=H$14),INDEX(INDICES,,),0)),NA())</f>
        <v>149.4</v>
      </c>
      <c r="K34" t="str">
        <v>Bitume</v>
      </c>
      <c r="L34" s="105">
        <v>0</v>
      </c>
      <c r="M34" t="str">
        <v>Bitume</v>
      </c>
      <c r="N34">
        <v>0</v>
      </c>
      <c r="P34" t="s">
        <v>74</v>
      </c>
      <c r="Q34" t="str">
        <v>Bitume</v>
      </c>
      <c r="R34" s="21">
        <v>0.44992186390112221</v>
      </c>
      <c r="S34" s="21">
        <v>0.67311475409836063</v>
      </c>
      <c r="T34" s="171"/>
    </row>
    <row r="35" spans="1:20" x14ac:dyDescent="0.25">
      <c r="A35" s="1">
        <f t="shared" si="0"/>
        <v>44317</v>
      </c>
      <c r="B35" s="121" cm="1">
        <f t="array" ref="B35">IF(A35&lt;=DATE3,SUM(IF((INDEX(INDEX,,1)=A35)*(INDEX(INDEX,3,)="TP01"),INDEX(INDEX,,),0)),"")</f>
        <v>114</v>
      </c>
      <c r="C35" s="94" cm="1">
        <f t="array" ref="C35">IF(A35&lt;=DATE3,SUM(IF((INDEX(INDEX,,1)=A35)*(INDEX(INDEX,3,)=C14),INDEX(INDEX,,),0)),"")</f>
        <v>119</v>
      </c>
      <c r="D35" s="33" cm="1">
        <f t="array" ref="D35">IF($A35&lt;=DATE4,SUM(IF((INDEX(INDICES,,1)=$A35)*(INDEX(INDICES,5,)=D$14),INDEX(INDICES,,),0)),NA())</f>
        <v>107.2</v>
      </c>
      <c r="E35" s="33" cm="1">
        <f t="array" ref="E35">IF($A35&lt;=DATE4,SUM(IF((INDEX(INDICES,,1)=$A35)*(INDEX(INDICES,5,)=E$14),INDEX(INDICES,,),0)),NA())</f>
        <v>122.7</v>
      </c>
      <c r="F35" s="33" cm="1">
        <f t="array" ref="F35">IF($A35&lt;=DATE4,SUM(IF((INDEX(INDICES,,1)=$A35)*(INDEX(INDICES,5,)=F$14),INDEX(INDICES,,),0)),NA())</f>
        <v>121.36177120353477</v>
      </c>
      <c r="G35" s="33" cm="1">
        <f t="array" ref="G35">IF($A35&lt;=DATE4,SUM(IF((INDEX(INDICES,,1)=$A35)*(INDEX(INDICES,5,)=G$14),INDEX(INDICES,,),0)),NA())</f>
        <v>106</v>
      </c>
      <c r="H35" s="33" cm="1">
        <f t="array" ref="H35">IF($A35&lt;=DATE4,SUM(IF((INDEX(INDICES,,1)=$A35)*(INDEX(INDICES,5,)=H$14),INDEX(INDICES,,),0)),NA())</f>
        <v>153.5</v>
      </c>
      <c r="K35" t="str">
        <v>Produits de voierie en béton</v>
      </c>
      <c r="L35" s="105">
        <v>0</v>
      </c>
      <c r="M35" t="str">
        <v>Produits de voierie en béton</v>
      </c>
      <c r="N35">
        <v>0</v>
      </c>
      <c r="P35" t="s">
        <v>75</v>
      </c>
      <c r="Q35" t="str">
        <v>Produits de voierie en béton</v>
      </c>
      <c r="R35" s="21">
        <v>0.10338826901422848</v>
      </c>
      <c r="S35" s="21">
        <v>0.14511845320301697</v>
      </c>
      <c r="T35" s="171"/>
    </row>
    <row r="36" spans="1:20" x14ac:dyDescent="0.25">
      <c r="A36" s="1">
        <f t="shared" si="0"/>
        <v>44348</v>
      </c>
      <c r="B36" s="121" cm="1">
        <f t="array" ref="B36">IF(A36&lt;=DATE3,SUM(IF((INDEX(INDEX,,1)=A36)*(INDEX(INDEX,3,)="TP01"),INDEX(INDEX,,),0)),"")</f>
        <v>114.8</v>
      </c>
      <c r="C36" s="94" cm="1">
        <f t="array" ref="C36">IF(A36&lt;=DATE3,SUM(IF((INDEX(INDEX,,1)=A36)*(INDEX(INDEX,3,)=C14),INDEX(INDEX,,),0)),"")</f>
        <v>120.8</v>
      </c>
      <c r="D36" s="33" cm="1">
        <f t="array" ref="D36">IF($A36&lt;=DATE4,SUM(IF((INDEX(INDICES,,1)=$A36)*(INDEX(INDICES,5,)=D$14),INDEX(INDICES,,),0)),NA())</f>
        <v>107.8</v>
      </c>
      <c r="E36" s="33" cm="1">
        <f t="array" ref="E36">IF($A36&lt;=DATE4,SUM(IF((INDEX(INDICES,,1)=$A36)*(INDEX(INDICES,5,)=E$14),INDEX(INDICES,,),0)),NA())</f>
        <v>122.5</v>
      </c>
      <c r="F36" s="33" cm="1">
        <f t="array" ref="F36">IF($A36&lt;=DATE4,SUM(IF((INDEX(INDICES,,1)=$A36)*(INDEX(INDICES,5,)=F$14),INDEX(INDICES,,),0)),NA())</f>
        <v>124.19919316107966</v>
      </c>
      <c r="G36" s="33" cm="1">
        <f t="array" ref="G36">IF($A36&lt;=DATE4,SUM(IF((INDEX(INDICES,,1)=$A36)*(INDEX(INDICES,5,)=G$14),INDEX(INDICES,,),0)),NA())</f>
        <v>105.6</v>
      </c>
      <c r="H36" s="33" cm="1">
        <f t="array" ref="H36">IF($A36&lt;=DATE4,SUM(IF((INDEX(INDICES,,1)=$A36)*(INDEX(INDICES,5,)=H$14),INDEX(INDICES,,),0)),NA())</f>
        <v>167.7</v>
      </c>
      <c r="K36" t="str">
        <v>Mortiers et bétons secs</v>
      </c>
      <c r="L36" s="105">
        <v>0</v>
      </c>
      <c r="M36" t="str">
        <v>Mortiers et bétons secs</v>
      </c>
      <c r="N36">
        <v>0</v>
      </c>
      <c r="P36" t="s">
        <v>76</v>
      </c>
      <c r="Q36" t="str">
        <v>Mortiers et bétons secs</v>
      </c>
      <c r="R36" s="21">
        <v>6.8490153172866552E-2</v>
      </c>
      <c r="S36" s="21">
        <v>7.6973974415527113E-2</v>
      </c>
      <c r="T36" s="171"/>
    </row>
    <row r="37" spans="1:20" x14ac:dyDescent="0.25">
      <c r="A37" s="1">
        <f t="shared" si="0"/>
        <v>44378</v>
      </c>
      <c r="B37" s="121" cm="1">
        <f t="array" ref="B37">IF(A37&lt;=DATE3,SUM(IF((INDEX(INDEX,,1)=A37)*(INDEX(INDEX,3,)="TP01"),INDEX(INDEX,,),0)),"")</f>
        <v>115.9</v>
      </c>
      <c r="C37" s="94" cm="1">
        <f t="array" ref="C37">IF(A37&lt;=DATE3,SUM(IF((INDEX(INDEX,,1)=A37)*(INDEX(INDEX,3,)=C14),INDEX(INDEX,,),0)),"")</f>
        <v>122.7</v>
      </c>
      <c r="D37" s="33" cm="1">
        <f t="array" ref="D37">IF($A37&lt;=DATE4,SUM(IF((INDEX(INDICES,,1)=$A37)*(INDEX(INDICES,5,)=D$14),INDEX(INDICES,,),0)),NA())</f>
        <v>108.3</v>
      </c>
      <c r="E37" s="33" cm="1">
        <f t="array" ref="E37">IF($A37&lt;=DATE4,SUM(IF((INDEX(INDICES,,1)=$A37)*(INDEX(INDICES,5,)=E$14),INDEX(INDICES,,),0)),NA())</f>
        <v>122.5</v>
      </c>
      <c r="F37" s="33" cm="1">
        <f t="array" ref="F37">IF($A37&lt;=DATE4,SUM(IF((INDEX(INDICES,,1)=$A37)*(INDEX(INDICES,5,)=F$14),INDEX(INDICES,,),0)),NA())</f>
        <v>126.7198155796754</v>
      </c>
      <c r="G37" s="33" cm="1">
        <f t="array" ref="G37">IF($A37&lt;=DATE4,SUM(IF((INDEX(INDICES,,1)=$A37)*(INDEX(INDICES,5,)=G$14),INDEX(INDICES,,),0)),NA())</f>
        <v>106.7</v>
      </c>
      <c r="H37" s="33" cm="1">
        <f t="array" ref="H37">IF($A37&lt;=DATE4,SUM(IF((INDEX(INDICES,,1)=$A37)*(INDEX(INDICES,5,)=H$14),INDEX(INDICES,,),0)),NA())</f>
        <v>185.7</v>
      </c>
      <c r="K37" t="str">
        <v>Travaux de fonderie de fonte</v>
      </c>
      <c r="L37" s="105">
        <v>0</v>
      </c>
      <c r="M37" t="str">
        <v>Travaux de fonderie de fonte</v>
      </c>
      <c r="N37">
        <v>0</v>
      </c>
      <c r="P37" t="s">
        <v>77</v>
      </c>
      <c r="Q37" t="str">
        <v>Travaux de fonderie de fonte</v>
      </c>
      <c r="R37" s="21">
        <v>0.20940219233811708</v>
      </c>
      <c r="S37" s="21">
        <v>0.26381672177609783</v>
      </c>
      <c r="T37" s="171"/>
    </row>
    <row r="38" spans="1:20" x14ac:dyDescent="0.25">
      <c r="A38" s="1">
        <f t="shared" si="0"/>
        <v>44409</v>
      </c>
      <c r="B38" s="121" cm="1">
        <f t="array" ref="B38">IF(A38&lt;=DATE3,SUM(IF((INDEX(INDEX,,1)=A38)*(INDEX(INDEX,3,)="TP01"),INDEX(INDEX,,),0)),"")</f>
        <v>116.1</v>
      </c>
      <c r="C38" s="94" cm="1">
        <f t="array" ref="C38">IF(A38&lt;=DATE3,SUM(IF((INDEX(INDEX,,1)=A38)*(INDEX(INDEX,3,)=C14),INDEX(INDEX,,),0)),"")</f>
        <v>123.1</v>
      </c>
      <c r="D38" s="33" cm="1">
        <f t="array" ref="D38">IF($A38&lt;=DATE4,SUM(IF((INDEX(INDICES,,1)=$A38)*(INDEX(INDICES,5,)=D$14),INDEX(INDICES,,),0)),NA())</f>
        <v>108.2</v>
      </c>
      <c r="E38" s="33" cm="1">
        <f t="array" ref="E38">IF($A38&lt;=DATE4,SUM(IF((INDEX(INDICES,,1)=$A38)*(INDEX(INDICES,5,)=E$14),INDEX(INDICES,,),0)),NA())</f>
        <v>122.6</v>
      </c>
      <c r="F38" s="33" cm="1">
        <f t="array" ref="F38">IF($A38&lt;=DATE4,SUM(IF((INDEX(INDICES,,1)=$A38)*(INDEX(INDICES,5,)=F$14),INDEX(INDICES,,),0)),NA())</f>
        <v>125.14959177792723</v>
      </c>
      <c r="G38" s="33" cm="1">
        <f t="array" ref="G38">IF($A38&lt;=DATE4,SUM(IF((INDEX(INDICES,,1)=$A38)*(INDEX(INDICES,5,)=G$14),INDEX(INDICES,,),0)),NA())</f>
        <v>108.3</v>
      </c>
      <c r="H38" s="33" cm="1">
        <f t="array" ref="H38">IF($A38&lt;=DATE4,SUM(IF((INDEX(INDICES,,1)=$A38)*(INDEX(INDICES,5,)=H$14),INDEX(INDICES,,),0)),NA())</f>
        <v>191.7</v>
      </c>
      <c r="K38" t="str">
        <v>Tuiles, briques et produits de construction en terre cuite</v>
      </c>
      <c r="L38" s="105">
        <v>0</v>
      </c>
      <c r="M38" t="str">
        <v>Tuiles, briques et produits de construction en terre cuite</v>
      </c>
      <c r="N38">
        <v>0</v>
      </c>
      <c r="P38" t="s">
        <v>78</v>
      </c>
      <c r="Q38" t="str">
        <v>Tuiles, briques et produits de construction en terre cuite</v>
      </c>
      <c r="R38" s="21">
        <v>0.20170848905499206</v>
      </c>
      <c r="S38" s="21">
        <v>0.2108887454271573</v>
      </c>
      <c r="T38" s="171"/>
    </row>
    <row r="39" spans="1:20" x14ac:dyDescent="0.25">
      <c r="A39" s="1">
        <f t="shared" si="0"/>
        <v>44440</v>
      </c>
      <c r="B39" s="121" cm="1">
        <f t="array" ref="B39">IF(A39&lt;=DATE3,SUM(IF((INDEX(INDEX,,1)=A39)*(INDEX(INDEX,3,)="TP01"),INDEX(INDEX,,),0)),"")</f>
        <v>116.4</v>
      </c>
      <c r="C39" s="94" cm="1">
        <f t="array" ref="C39">IF(A39&lt;=DATE3,SUM(IF((INDEX(INDEX,,1)=A39)*(INDEX(INDEX,3,)=C14),INDEX(INDEX,,),0)),"")</f>
        <v>123.7</v>
      </c>
      <c r="D39" s="33" cm="1">
        <f t="array" ref="D39">IF($A39&lt;=DATE4,SUM(IF((INDEX(INDICES,,1)=$A39)*(INDEX(INDICES,5,)=D$14),INDEX(INDICES,,),0)),NA())</f>
        <v>108.6</v>
      </c>
      <c r="E39" s="33" cm="1">
        <f t="array" ref="E39">IF($A39&lt;=DATE4,SUM(IF((INDEX(INDICES,,1)=$A39)*(INDEX(INDICES,5,)=E$14),INDEX(INDICES,,),0)),NA())</f>
        <v>122.7</v>
      </c>
      <c r="F39" s="33" cm="1">
        <f t="array" ref="F39">IF($A39&lt;=DATE4,SUM(IF((INDEX(INDICES,,1)=$A39)*(INDEX(INDICES,5,)=F$14),INDEX(INDICES,,),0)),NA())</f>
        <v>129.77761982518496</v>
      </c>
      <c r="G39" s="33" cm="1">
        <f t="array" ref="G39">IF($A39&lt;=DATE4,SUM(IF((INDEX(INDICES,,1)=$A39)*(INDEX(INDICES,5,)=G$14),INDEX(INDICES,,),0)),NA())</f>
        <v>105.5</v>
      </c>
      <c r="H39" s="33" cm="1">
        <f t="array" ref="H39">IF($A39&lt;=DATE4,SUM(IF((INDEX(INDICES,,1)=$A39)*(INDEX(INDICES,5,)=H$14),INDEX(INDICES,,),0)),NA())</f>
        <v>196.7</v>
      </c>
      <c r="K39" t="str">
        <v>Réseaux d’assainissement</v>
      </c>
      <c r="L39" s="105">
        <v>0</v>
      </c>
      <c r="M39" t="str">
        <v>Réseaux d’assainissement</v>
      </c>
      <c r="N39">
        <v>0</v>
      </c>
      <c r="P39" s="227" t="s">
        <v>300</v>
      </c>
      <c r="Q39" t="str">
        <v>Réseaux d’assainissement</v>
      </c>
      <c r="R39" s="21">
        <v>8.5368863380137272E-2</v>
      </c>
      <c r="S39" s="21">
        <v>0.14091187244128411</v>
      </c>
      <c r="T39" s="171"/>
    </row>
    <row r="40" spans="1:20" x14ac:dyDescent="0.25">
      <c r="A40" s="1">
        <f t="shared" si="0"/>
        <v>44470</v>
      </c>
      <c r="B40" s="121" cm="1">
        <f t="array" ref="B40">IF(A40&lt;=DATE3,SUM(IF((INDEX(INDEX,,1)=A40)*(INDEX(INDEX,3,)="TP01"),INDEX(INDEX,,),0)),"")</f>
        <v>117.5</v>
      </c>
      <c r="C40" s="94" cm="1">
        <f t="array" ref="C40">IF(A40&lt;=DATE3,SUM(IF((INDEX(INDEX,,1)=A40)*(INDEX(INDEX,3,)=C14),INDEX(INDEX,,),0)),"")</f>
        <v>123.6</v>
      </c>
      <c r="D40" s="33" cm="1">
        <f t="array" ref="D40">IF($A40&lt;=DATE4,SUM(IF((INDEX(INDICES,,1)=$A40)*(INDEX(INDICES,5,)=D$14),INDEX(INDICES,,),0)),NA())</f>
        <v>109</v>
      </c>
      <c r="E40" s="33" cm="1">
        <f t="array" ref="E40">IF($A40&lt;=DATE4,SUM(IF((INDEX(INDICES,,1)=$A40)*(INDEX(INDICES,5,)=E$14),INDEX(INDICES,,),0)),NA())</f>
        <v>122.6</v>
      </c>
      <c r="F40" s="33" cm="1">
        <f t="array" ref="F40">IF($A40&lt;=DATE4,SUM(IF((INDEX(INDICES,,1)=$A40)*(INDEX(INDICES,5,)=F$14),INDEX(INDICES,,),0)),NA())</f>
        <v>145.0804149457305</v>
      </c>
      <c r="G40" s="33" cm="1">
        <f t="array" ref="G40">IF($A40&lt;=DATE4,SUM(IF((INDEX(INDICES,,1)=$A40)*(INDEX(INDICES,5,)=G$14),INDEX(INDICES,,),0)),NA())</f>
        <v>106.4</v>
      </c>
      <c r="H40" s="33" cm="1">
        <f t="array" ref="H40">IF($A40&lt;=DATE4,SUM(IF((INDEX(INDICES,,1)=$A40)*(INDEX(INDICES,5,)=H$14),INDEX(INDICES,,),0)),NA())</f>
        <v>193</v>
      </c>
      <c r="K40" t="str">
        <v>Autres textiles</v>
      </c>
      <c r="L40" s="105">
        <v>0</v>
      </c>
      <c r="M40" t="str">
        <v>Autres textiles</v>
      </c>
      <c r="N40">
        <v>0</v>
      </c>
      <c r="P40" t="s">
        <v>80</v>
      </c>
      <c r="Q40" t="str">
        <v>Autres textiles</v>
      </c>
      <c r="R40" s="21">
        <v>7.4293900941465374E-2</v>
      </c>
      <c r="S40" s="21">
        <v>9.880678249947672E-2</v>
      </c>
      <c r="T40" s="171"/>
    </row>
    <row r="41" spans="1:20" x14ac:dyDescent="0.25">
      <c r="A41" s="1">
        <f t="shared" si="0"/>
        <v>44501</v>
      </c>
      <c r="B41" s="121" cm="1">
        <f t="array" ref="B41">IF(A41&lt;=DATE3,SUM(IF((INDEX(INDEX,,1)=A41)*(INDEX(INDEX,3,)="TP01"),INDEX(INDEX,,),0)),"")</f>
        <v>118.2</v>
      </c>
      <c r="C41" s="94" cm="1">
        <f t="array" ref="C41">IF(A41&lt;=DATE3,SUM(IF((INDEX(INDEX,,1)=A41)*(INDEX(INDEX,3,)=C14),INDEX(INDEX,,),0)),"")</f>
        <v>124</v>
      </c>
      <c r="D41" s="33" cm="1">
        <f t="array" ref="D41">IF($A41&lt;=DATE4,SUM(IF((INDEX(INDICES,,1)=$A41)*(INDEX(INDICES,5,)=D$14),INDEX(INDICES,,),0)),NA())</f>
        <v>109.1</v>
      </c>
      <c r="E41" s="33" cm="1">
        <f t="array" ref="E41">IF($A41&lt;=DATE4,SUM(IF((INDEX(INDICES,,1)=$A41)*(INDEX(INDICES,5,)=E$14),INDEX(INDICES,,),0)),NA())</f>
        <v>122.5</v>
      </c>
      <c r="F41" s="33" cm="1">
        <f t="array" ref="F41">IF($A41&lt;=DATE4,SUM(IF((INDEX(INDICES,,1)=$A41)*(INDEX(INDICES,5,)=F$14),INDEX(INDICES,,),0)),NA())</f>
        <v>146.98121217942563</v>
      </c>
      <c r="G41" s="33" cm="1">
        <f t="array" ref="G41">IF($A41&lt;=DATE4,SUM(IF((INDEX(INDICES,,1)=$A41)*(INDEX(INDICES,5,)=G$14),INDEX(INDICES,,),0)),NA())</f>
        <v>107</v>
      </c>
      <c r="H41" s="33" cm="1">
        <f t="array" ref="H41">IF($A41&lt;=DATE4,SUM(IF((INDEX(INDICES,,1)=$A41)*(INDEX(INDICES,5,)=H$14),INDEX(INDICES,,),0)),NA())</f>
        <v>193.5</v>
      </c>
      <c r="K41" t="str">
        <v>Matières plastiques sous formes primaires</v>
      </c>
      <c r="L41" s="105">
        <v>0</v>
      </c>
      <c r="M41" t="str">
        <v>Matières plastiques sous formes primaires</v>
      </c>
      <c r="N41">
        <v>0</v>
      </c>
      <c r="P41" t="s">
        <v>81</v>
      </c>
      <c r="Q41" t="str">
        <v>Matières plastiques sous formes primaires</v>
      </c>
      <c r="R41" s="21">
        <v>0.30385684503127175</v>
      </c>
      <c r="S41" s="21">
        <v>0.82959531935641162</v>
      </c>
      <c r="T41" s="171"/>
    </row>
    <row r="42" spans="1:20" x14ac:dyDescent="0.25">
      <c r="A42" s="1">
        <f t="shared" si="0"/>
        <v>44531</v>
      </c>
      <c r="B42" s="121" cm="1">
        <f t="array" ref="B42">IF(A42&lt;=DATE3,SUM(IF((INDEX(INDEX,,1)=A42)*(INDEX(INDEX,3,)="TP01"),INDEX(INDEX,,),0)),"")</f>
        <v>118.8</v>
      </c>
      <c r="C42" s="94" cm="1">
        <f t="array" ref="C42">IF(A42&lt;=DATE3,SUM(IF((INDEX(INDEX,,1)=A42)*(INDEX(INDEX,3,)=C14),INDEX(INDEX,,),0)),"")</f>
        <v>124.4</v>
      </c>
      <c r="D42" s="33" cm="1">
        <f t="array" ref="D42">IF($A42&lt;=DATE4,SUM(IF((INDEX(INDICES,,1)=$A42)*(INDEX(INDICES,5,)=D$14),INDEX(INDICES,,),0)),NA())</f>
        <v>109.4</v>
      </c>
      <c r="E42" s="33" cm="1">
        <f t="array" ref="E42">IF($A42&lt;=DATE4,SUM(IF((INDEX(INDICES,,1)=$A42)*(INDEX(INDICES,5,)=E$14),INDEX(INDICES,,),0)),NA())</f>
        <v>122.4</v>
      </c>
      <c r="F42" s="33" cm="1">
        <f t="array" ref="F42">IF($A42&lt;=DATE4,SUM(IF((INDEX(INDICES,,1)=$A42)*(INDEX(INDICES,5,)=F$14),INDEX(INDICES,,),0)),NA())</f>
        <v>143.4</v>
      </c>
      <c r="G42" s="33" cm="1">
        <f t="array" ref="G42">IF($A42&lt;=DATE4,SUM(IF((INDEX(INDICES,,1)=$A42)*(INDEX(INDICES,5,)=G$14),INDEX(INDICES,,),0)),NA())</f>
        <v>106.9</v>
      </c>
      <c r="H42" s="33" cm="1">
        <f t="array" ref="H42">IF($A42&lt;=DATE4,SUM(IF((INDEX(INDICES,,1)=$A42)*(INDEX(INDICES,5,)=H$14),INDEX(INDICES,,),0)),NA())</f>
        <v>192.6</v>
      </c>
      <c r="K42" t="str">
        <v>Tubes, tuyaux, profilés creux et accessoires correspondants en acier</v>
      </c>
      <c r="L42" s="105">
        <v>0</v>
      </c>
      <c r="M42" t="str">
        <v>Tubes, tuyaux, profilés creux et accessoires correspondants en acier</v>
      </c>
      <c r="N42">
        <v>0</v>
      </c>
      <c r="P42" t="s">
        <v>82</v>
      </c>
      <c r="Q42" t="str">
        <v>Tubes, tuyaux, profilés creux et accessoires correspondants en acier</v>
      </c>
      <c r="R42" s="21">
        <v>0.26648324653630762</v>
      </c>
      <c r="S42" s="21">
        <v>0.36189771766694845</v>
      </c>
      <c r="T42" s="171"/>
    </row>
    <row r="43" spans="1:20" x14ac:dyDescent="0.25">
      <c r="A43" s="1">
        <f t="shared" si="0"/>
        <v>44562</v>
      </c>
      <c r="B43" s="121" cm="1">
        <f t="array" ref="B43">IF(A43&lt;=DATE3,SUM(IF((INDEX(INDEX,,1)=A43)*(INDEX(INDEX,3,)="TP01"),INDEX(INDEX,,),0)),"")</f>
        <v>119.9</v>
      </c>
      <c r="C43" s="94" cm="1">
        <f t="array" ref="C43">IF(A43&lt;=DATE3,SUM(IF((INDEX(INDEX,,1)=A43)*(INDEX(INDEX,3,)=C14),INDEX(INDEX,,),0)),"")</f>
        <v>125.3</v>
      </c>
      <c r="D43" s="33" cm="1">
        <f t="array" ref="D43">IF($A43&lt;=DATE4,SUM(IF((INDEX(INDICES,,1)=$A43)*(INDEX(INDICES,5,)=D$14),INDEX(INDICES,,),0)),NA())</f>
        <v>110.8</v>
      </c>
      <c r="E43" s="33" cm="1">
        <f t="array" ref="E43">IF($A43&lt;=DATE4,SUM(IF((INDEX(INDICES,,1)=$A43)*(INDEX(INDICES,5,)=E$14),INDEX(INDICES,,),0)),NA())</f>
        <v>122.6</v>
      </c>
      <c r="F43" s="33" cm="1">
        <f t="array" ref="F43">IF($A43&lt;=DATE4,SUM(IF((INDEX(INDICES,,1)=$A43)*(INDEX(INDICES,5,)=F$14),INDEX(INDICES,,),0)),NA())</f>
        <v>156.1</v>
      </c>
      <c r="G43" s="33" cm="1">
        <f t="array" ref="G43">IF($A43&lt;=DATE4,SUM(IF((INDEX(INDICES,,1)=$A43)*(INDEX(INDICES,5,)=G$14),INDEX(INDICES,,),0)),NA())</f>
        <v>109.8</v>
      </c>
      <c r="H43" s="33" cm="1">
        <f t="array" ref="H43">IF($A43&lt;=DATE4,SUM(IF((INDEX(INDICES,,1)=$A43)*(INDEX(INDICES,5,)=H$14),INDEX(INDICES,,),0)),NA())</f>
        <v>193.7</v>
      </c>
      <c r="K43" t="str">
        <v>Éléments en béton pour la construction</v>
      </c>
      <c r="L43" s="105">
        <v>0</v>
      </c>
      <c r="M43" t="str">
        <v>Éléments en béton pour la construction</v>
      </c>
      <c r="N43">
        <v>0</v>
      </c>
      <c r="P43" t="s">
        <v>83</v>
      </c>
      <c r="Q43" t="str">
        <v>Éléments en béton pour la construction</v>
      </c>
      <c r="R43" s="21">
        <v>0.1052910613932776</v>
      </c>
      <c r="S43" s="21">
        <v>0.1206192216727584</v>
      </c>
      <c r="T43" s="171"/>
    </row>
    <row r="44" spans="1:20" x14ac:dyDescent="0.25">
      <c r="A44" s="1">
        <f t="shared" si="0"/>
        <v>44593</v>
      </c>
      <c r="B44" s="121" cm="1">
        <f t="array" ref="B44">IF(A44&lt;=DATE3,SUM(IF((INDEX(INDEX,,1)=A44)*(INDEX(INDEX,3,)="TP01"),INDEX(INDEX,,),0)),"")</f>
        <v>121.3</v>
      </c>
      <c r="C44" s="94" cm="1">
        <f t="array" ref="C44">IF(A44&lt;=DATE3,SUM(IF((INDEX(INDEX,,1)=A44)*(INDEX(INDEX,3,)=C14),INDEX(INDEX,,),0)),"")</f>
        <v>125.7</v>
      </c>
      <c r="D44" s="33" cm="1">
        <f t="array" ref="D44">IF($A44&lt;=DATE4,SUM(IF((INDEX(INDICES,,1)=$A44)*(INDEX(INDICES,5,)=D$14),INDEX(INDICES,,),0)),NA())</f>
        <v>111.3</v>
      </c>
      <c r="E44" s="33" cm="1">
        <f t="array" ref="E44">IF($A44&lt;=DATE4,SUM(IF((INDEX(INDICES,,1)=$A44)*(INDEX(INDICES,5,)=E$14),INDEX(INDICES,,),0)),NA())</f>
        <v>122.8</v>
      </c>
      <c r="F44" s="33" cm="1">
        <f t="array" ref="F44">IF($A44&lt;=DATE4,SUM(IF((INDEX(INDICES,,1)=$A44)*(INDEX(INDICES,5,)=F$14),INDEX(INDICES,,),0)),NA())</f>
        <v>167.4</v>
      </c>
      <c r="G44" s="33" cm="1">
        <f t="array" ref="G44">IF($A44&lt;=DATE4,SUM(IF((INDEX(INDICES,,1)=$A44)*(INDEX(INDICES,5,)=G$14),INDEX(INDICES,,),0)),NA())</f>
        <v>109.6</v>
      </c>
      <c r="H44" s="33" cm="1">
        <f t="array" ref="H44">IF($A44&lt;=DATE4,SUM(IF((INDEX(INDICES,,1)=$A44)*(INDEX(INDICES,5,)=H$14),INDEX(INDICES,,),0)),NA())</f>
        <v>196.9</v>
      </c>
      <c r="K44" t="str">
        <v>Fils et câbles d'énergie</v>
      </c>
      <c r="L44" s="105">
        <v>0</v>
      </c>
      <c r="M44" t="str">
        <v>Fils et câbles d'énergie</v>
      </c>
      <c r="N44">
        <v>0</v>
      </c>
      <c r="P44" t="s">
        <v>84</v>
      </c>
      <c r="Q44" t="str">
        <v>Fils et câbles d'énergie</v>
      </c>
      <c r="R44" s="21">
        <v>0.24473788721207312</v>
      </c>
      <c r="S44" s="21">
        <v>0.46374781085814387</v>
      </c>
      <c r="T44" s="171"/>
    </row>
    <row r="45" spans="1:20" x14ac:dyDescent="0.25">
      <c r="A45" s="1">
        <f t="shared" si="0"/>
        <v>44621</v>
      </c>
      <c r="B45" s="121" cm="1">
        <f t="array" ref="B45">IF(A45&lt;=DATE3,SUM(IF((INDEX(INDEX,,1)=A45)*(INDEX(INDEX,3,)="TP01"),INDEX(INDEX,,),0)),"")</f>
        <v>124.7</v>
      </c>
      <c r="C45" s="94" cm="1">
        <f t="array" ref="C45">IF(A45&lt;=DATE3,SUM(IF((INDEX(INDEX,,1)=A45)*(INDEX(INDEX,3,)=C14),INDEX(INDEX,,),0)),"")</f>
        <v>127.2</v>
      </c>
      <c r="D45" s="33" cm="1">
        <f t="array" ref="D45">IF($A45&lt;=DATE4,SUM(IF((INDEX(INDICES,,1)=$A45)*(INDEX(INDICES,5,)=D$14),INDEX(INDICES,,),0)),NA())</f>
        <v>111.1</v>
      </c>
      <c r="E45" s="33" cm="1">
        <f t="array" ref="E45">IF($A45&lt;=DATE4,SUM(IF((INDEX(INDICES,,1)=$A45)*(INDEX(INDICES,5,)=E$14),INDEX(INDICES,,),0)),NA())</f>
        <v>123</v>
      </c>
      <c r="F45" s="33" cm="1">
        <f t="array" ref="F45">IF($A45&lt;=DATE4,SUM(IF((INDEX(INDICES,,1)=$A45)*(INDEX(INDICES,5,)=F$14),INDEX(INDICES,,),0)),NA())</f>
        <v>224.4</v>
      </c>
      <c r="G45" s="33" cm="1">
        <f t="array" ref="G45">IF($A45&lt;=DATE4,SUM(IF((INDEX(INDICES,,1)=$A45)*(INDEX(INDICES,5,)=G$14),INDEX(INDICES,,),0)),NA())</f>
        <v>109.3</v>
      </c>
      <c r="H45" s="33" cm="1">
        <f t="array" ref="H45">IF($A45&lt;=DATE4,SUM(IF((INDEX(INDICES,,1)=$A45)*(INDEX(INDICES,5,)=H$14),INDEX(INDICES,,),0)),NA())</f>
        <v>213.4</v>
      </c>
      <c r="K45" t="str">
        <v>Moteurs, génératrices, transfo. électr., matér. distrib., cmde électr.</v>
      </c>
      <c r="L45" s="105">
        <v>0</v>
      </c>
      <c r="M45" t="str">
        <v>Moteurs, génératrices, transfo. électr., matér. distrib., cmde électr.</v>
      </c>
      <c r="N45">
        <v>0</v>
      </c>
      <c r="P45" t="s">
        <v>85</v>
      </c>
      <c r="Q45" t="str">
        <v>Moteurs, génératrices, transfo. électr., matér. distrib., cmde électr.</v>
      </c>
      <c r="R45" s="21">
        <v>8.8900634249471366E-2</v>
      </c>
      <c r="S45" s="21">
        <v>0.1045464293373366</v>
      </c>
      <c r="T45" s="171"/>
    </row>
    <row r="46" spans="1:20" x14ac:dyDescent="0.25">
      <c r="A46" s="1">
        <f t="shared" si="0"/>
        <v>44652</v>
      </c>
      <c r="B46" s="121" cm="1">
        <f t="array" ref="B46">IF(A46&lt;=DATE3,SUM(IF((INDEX(INDEX,,1)=A46)*(INDEX(INDEX,3,)="TP01"),INDEX(INDEX,,),0)),"")</f>
        <v>126.6</v>
      </c>
      <c r="C46" s="94" cm="1">
        <f t="array" ref="C46">IF(A46&lt;=DATE3,SUM(IF((INDEX(INDEX,,1)=A46)*(INDEX(INDEX,3,)=C14),INDEX(INDEX,,),0)),"")</f>
        <v>131</v>
      </c>
      <c r="D46" s="33" cm="1">
        <f t="array" ref="D46">IF($A46&lt;=DATE4,SUM(IF((INDEX(INDICES,,1)=$A46)*(INDEX(INDICES,5,)=D$14),INDEX(INDICES,,),0)),NA())</f>
        <v>113.4</v>
      </c>
      <c r="E46" s="33" cm="1">
        <f t="array" ref="E46">IF($A46&lt;=DATE4,SUM(IF((INDEX(INDICES,,1)=$A46)*(INDEX(INDICES,5,)=E$14),INDEX(INDICES,,),0)),NA())</f>
        <v>123.2</v>
      </c>
      <c r="F46" s="33" cm="1">
        <f t="array" ref="F46">IF($A46&lt;=DATE4,SUM(IF((INDEX(INDICES,,1)=$A46)*(INDEX(INDICES,5,)=F$14),INDEX(INDICES,,),0)),NA())</f>
        <v>188.1</v>
      </c>
      <c r="G46" s="33" cm="1">
        <f t="array" ref="G46">IF($A46&lt;=DATE4,SUM(IF((INDEX(INDICES,,1)=$A46)*(INDEX(INDICES,5,)=G$14),INDEX(INDICES,,),0)),NA())</f>
        <v>111.3</v>
      </c>
      <c r="H46" s="33" cm="1">
        <f t="array" ref="H46">IF($A46&lt;=DATE4,SUM(IF((INDEX(INDICES,,1)=$A46)*(INDEX(INDICES,5,)=H$14),INDEX(INDICES,,),0)),NA())</f>
        <v>249.2</v>
      </c>
      <c r="K46" t="str">
        <v>Matériel de distribution et de commande électrique</v>
      </c>
      <c r="L46" s="105">
        <v>0</v>
      </c>
      <c r="M46" t="str">
        <v>Matériel de distribution et de commande électrique</v>
      </c>
      <c r="N46">
        <v>0</v>
      </c>
      <c r="P46" t="s">
        <v>86</v>
      </c>
      <c r="Q46" t="str">
        <v>Matériel de distribution et de commande électrique</v>
      </c>
      <c r="R46" s="21">
        <v>8.7262417305471018E-2</v>
      </c>
      <c r="S46" s="21">
        <v>0.11369258900720691</v>
      </c>
      <c r="T46" s="171"/>
    </row>
    <row r="47" spans="1:20" x14ac:dyDescent="0.25">
      <c r="A47" s="1">
        <f t="shared" si="0"/>
        <v>44682</v>
      </c>
      <c r="B47" s="121" cm="1">
        <f t="array" ref="B47">IF(A47&lt;=DATE3,SUM(IF((INDEX(INDEX,,1)=A47)*(INDEX(INDEX,3,)="TP01"),INDEX(INDEX,,),0)),"")</f>
        <v>127.3</v>
      </c>
      <c r="C47" s="94" cm="1">
        <f t="array" ref="C47">IF(A47&lt;=DATE3,SUM(IF((INDEX(INDEX,,1)=A47)*(INDEX(INDEX,3,)=C14),INDEX(INDEX,,),0)),"")</f>
        <v>133.30000000000001</v>
      </c>
      <c r="D47" s="33" cm="1">
        <f t="array" ref="D47">IF($A47&lt;=DATE4,SUM(IF((INDEX(INDICES,,1)=$A47)*(INDEX(INDICES,5,)=D$14),INDEX(INDICES,,),0)),NA())</f>
        <v>113.2</v>
      </c>
      <c r="E47" s="33" cm="1">
        <f t="array" ref="E47">IF($A47&lt;=DATE4,SUM(IF((INDEX(INDICES,,1)=$A47)*(INDEX(INDICES,5,)=E$14),INDEX(INDICES,,),0)),NA())</f>
        <v>123.5</v>
      </c>
      <c r="F47" s="33" cm="1">
        <f t="array" ref="F47">IF($A47&lt;=DATE4,SUM(IF((INDEX(INDICES,,1)=$A47)*(INDEX(INDICES,5,)=F$14),INDEX(INDICES,,),0)),NA())</f>
        <v>188.8</v>
      </c>
      <c r="G47" s="33" cm="1">
        <f t="array" ref="G47">IF($A47&lt;=DATE4,SUM(IF((INDEX(INDICES,,1)=$A47)*(INDEX(INDICES,5,)=G$14),INDEX(INDICES,,),0)),NA())</f>
        <v>112.6</v>
      </c>
      <c r="H47" s="33" cm="1">
        <f t="array" ref="H47">IF($A47&lt;=DATE4,SUM(IF((INDEX(INDICES,,1)=$A47)*(INDEX(INDICES,5,)=H$14),INDEX(INDICES,,),0)),NA())</f>
        <v>270.7</v>
      </c>
      <c r="K47" t="str">
        <v>Appareils d'éclairage électrique</v>
      </c>
      <c r="L47" s="105">
        <v>0</v>
      </c>
      <c r="M47" t="str">
        <v>Appareils d'éclairage électrique</v>
      </c>
      <c r="N47">
        <v>0</v>
      </c>
      <c r="P47" t="s">
        <v>87</v>
      </c>
      <c r="Q47" t="str">
        <v>Appareils d'éclairage électrique</v>
      </c>
      <c r="R47" s="21">
        <v>3.5718374356038751E-2</v>
      </c>
      <c r="S47" s="21">
        <v>3.3116364051615665E-2</v>
      </c>
      <c r="T47" s="171"/>
    </row>
    <row r="48" spans="1:20" x14ac:dyDescent="0.25">
      <c r="A48" s="1">
        <f t="shared" si="0"/>
        <v>44713</v>
      </c>
      <c r="B48" s="121" cm="1">
        <f t="array" ref="B48">IF(A48&lt;=DATE3,SUM(IF((INDEX(INDEX,,1)=A48)*(INDEX(INDEX,3,)="TP01"),INDEX(INDEX,,),0)),"")</f>
        <v>129.1</v>
      </c>
      <c r="C48" s="94" cm="1">
        <f t="array" ref="C48">IF(A48&lt;=DATE3,SUM(IF((INDEX(INDEX,,1)=A48)*(INDEX(INDEX,3,)=C14),INDEX(INDEX,,),0)),"")</f>
        <v>132.19999999999999</v>
      </c>
      <c r="D48" s="33" cm="1">
        <f t="array" ref="D48">IF($A48&lt;=DATE4,SUM(IF((INDEX(INDICES,,1)=$A48)*(INDEX(INDICES,5,)=D$14),INDEX(INDICES,,),0)),NA())</f>
        <v>113.3</v>
      </c>
      <c r="E48" s="33" cm="1">
        <f t="array" ref="E48">IF($A48&lt;=DATE4,SUM(IF((INDEX(INDICES,,1)=$A48)*(INDEX(INDICES,5,)=E$14),INDEX(INDICES,,),0)),NA())</f>
        <v>123.7</v>
      </c>
      <c r="F48" s="33" cm="1">
        <f t="array" ref="F48">IF($A48&lt;=DATE4,SUM(IF((INDEX(INDICES,,1)=$A48)*(INDEX(INDICES,5,)=F$14),INDEX(INDICES,,),0)),NA())</f>
        <v>220</v>
      </c>
      <c r="G48" s="33" cm="1">
        <f t="array" ref="G48">IF($A48&lt;=DATE4,SUM(IF((INDEX(INDICES,,1)=$A48)*(INDEX(INDICES,5,)=G$14),INDEX(INDICES,,),0)),NA())</f>
        <v>112</v>
      </c>
      <c r="H48" s="33" cm="1">
        <f t="array" ref="H48">IF($A48&lt;=DATE4,SUM(IF((INDEX(INDICES,,1)=$A48)*(INDEX(INDICES,5,)=H$14),INDEX(INDICES,,),0)),NA())</f>
        <v>256.3</v>
      </c>
      <c r="K48" t="str">
        <v>Câbles de fibres optiques</v>
      </c>
      <c r="L48" s="105">
        <v>0</v>
      </c>
      <c r="M48" t="str">
        <v>Câbles de fibres optiques</v>
      </c>
      <c r="N48">
        <v>0</v>
      </c>
      <c r="P48" t="s">
        <v>88</v>
      </c>
      <c r="Q48" t="str">
        <v>Câbles de fibres optiques</v>
      </c>
      <c r="R48" s="21">
        <v>-1.0704345964461792E-3</v>
      </c>
      <c r="S48" s="21">
        <v>-2.7916666666666701E-2</v>
      </c>
      <c r="T48" s="171"/>
    </row>
    <row r="49" spans="1:20" x14ac:dyDescent="0.25">
      <c r="A49" s="1">
        <f t="shared" si="0"/>
        <v>44743</v>
      </c>
      <c r="B49" s="121" cm="1">
        <f t="array" ref="B49">IF(A49&lt;=DATE3,SUM(IF((INDEX(INDEX,,1)=A49)*(INDEX(INDEX,3,)="TP01"),INDEX(INDEX,,),0)),"")</f>
        <v>129.1</v>
      </c>
      <c r="C49" s="94" cm="1">
        <f t="array" ref="C49">IF(A49&lt;=DATE3,SUM(IF((INDEX(INDEX,,1)=A49)*(INDEX(INDEX,3,)=C14),INDEX(INDEX,,),0)),"")</f>
        <v>132.19999999999999</v>
      </c>
      <c r="D49" s="33" cm="1">
        <f t="array" ref="D49">IF($A49&lt;=DATE4,SUM(IF((INDEX(INDICES,,1)=$A49)*(INDEX(INDICES,5,)=D$14),INDEX(INDICES,,),0)),NA())</f>
        <v>116.6</v>
      </c>
      <c r="E49" s="33" cm="1">
        <f t="array" ref="E49">IF($A49&lt;=DATE4,SUM(IF((INDEX(INDICES,,1)=$A49)*(INDEX(INDICES,5,)=E$14),INDEX(INDICES,,),0)),NA())</f>
        <v>123.7</v>
      </c>
      <c r="F49" s="33" cm="1">
        <f t="array" ref="F49">IF($A49&lt;=DATE4,SUM(IF((INDEX(INDICES,,1)=$A49)*(INDEX(INDICES,5,)=F$14),INDEX(INDICES,,),0)),NA())</f>
        <v>198.7</v>
      </c>
      <c r="G49" s="33" cm="1">
        <f t="array" ref="G49">IF($A49&lt;=DATE4,SUM(IF((INDEX(INDICES,,1)=$A49)*(INDEX(INDICES,5,)=G$14),INDEX(INDICES,,),0)),NA())</f>
        <v>113.3</v>
      </c>
      <c r="H49" s="33" cm="1">
        <f t="array" ref="H49">IF($A49&lt;=DATE4,SUM(IF((INDEX(INDICES,,1)=$A49)*(INDEX(INDICES,5,)=H$14),INDEX(INDICES,,),0)),NA())</f>
        <v>246.9</v>
      </c>
      <c r="K49" t="str">
        <v>Peintures Industries</v>
      </c>
      <c r="L49" s="105">
        <v>0</v>
      </c>
      <c r="M49" t="str">
        <v>Peintures Industries</v>
      </c>
      <c r="N49">
        <v>0</v>
      </c>
      <c r="P49" t="s">
        <v>89</v>
      </c>
      <c r="Q49" t="str">
        <v>Peintures Industries</v>
      </c>
      <c r="R49" s="21">
        <v>0.20875984251968482</v>
      </c>
      <c r="S49" s="21">
        <v>0.23290834253588977</v>
      </c>
      <c r="T49" s="171"/>
    </row>
    <row r="50" spans="1:20" x14ac:dyDescent="0.25">
      <c r="A50" s="1">
        <f t="shared" si="0"/>
        <v>44774</v>
      </c>
      <c r="B50" s="121" cm="1">
        <f t="array" ref="B50">IF(A50&lt;=DATE3,SUM(IF((INDEX(INDEX,,1)=A50)*(INDEX(INDEX,3,)="TP01"),INDEX(INDEX,,),0)),"")</f>
        <v>128.9</v>
      </c>
      <c r="C50" s="94" cm="1">
        <f t="array" ref="C50">IF(A50&lt;=DATE3,SUM(IF((INDEX(INDEX,,1)=A50)*(INDEX(INDEX,3,)=C14),INDEX(INDEX,,),0)),"")</f>
        <v>132.1</v>
      </c>
      <c r="D50" s="33" cm="1">
        <f t="array" ref="D50">IF($A50&lt;=DATE4,SUM(IF((INDEX(INDICES,,1)=$A50)*(INDEX(INDICES,5,)=D$14),INDEX(INDICES,,),0)),NA())</f>
        <v>116.6</v>
      </c>
      <c r="E50" s="33" cm="1">
        <f t="array" ref="E50">IF($A50&lt;=DATE4,SUM(IF((INDEX(INDICES,,1)=$A50)*(INDEX(INDICES,5,)=E$14),INDEX(INDICES,,),0)),NA())</f>
        <v>123.7</v>
      </c>
      <c r="F50" s="33" cm="1">
        <f t="array" ref="F50">IF($A50&lt;=DATE4,SUM(IF((INDEX(INDICES,,1)=$A50)*(INDEX(INDICES,5,)=F$14),INDEX(INDICES,,),0)),NA())</f>
        <v>189.1</v>
      </c>
      <c r="G50" s="33" cm="1">
        <f t="array" ref="G50">IF($A50&lt;=DATE4,SUM(IF((INDEX(INDICES,,1)=$A50)*(INDEX(INDICES,5,)=G$14),INDEX(INDICES,,),0)),NA())</f>
        <v>116.6</v>
      </c>
      <c r="H50" s="33" cm="1">
        <f t="array" ref="H50">IF($A50&lt;=DATE4,SUM(IF((INDEX(INDICES,,1)=$A50)*(INDEX(INDICES,5,)=H$14),INDEX(INDICES,,),0)),NA())</f>
        <v>241.2</v>
      </c>
      <c r="K50" t="str">
        <v>Produits sidérurgiques en acier non allié</v>
      </c>
      <c r="L50" s="105">
        <v>0</v>
      </c>
      <c r="M50" t="str">
        <v>Produits sidérurgiques en acier non allié</v>
      </c>
      <c r="N50">
        <v>0</v>
      </c>
      <c r="P50" t="s">
        <v>90</v>
      </c>
      <c r="Q50" t="str">
        <v>Produits sidérurgiques en acier non allié</v>
      </c>
      <c r="R50" s="21">
        <v>0.40667449270501455</v>
      </c>
      <c r="S50" s="21">
        <v>0.75996642887117116</v>
      </c>
      <c r="T50" s="171"/>
    </row>
    <row r="51" spans="1:20" x14ac:dyDescent="0.25">
      <c r="A51" s="1">
        <f t="shared" si="0"/>
        <v>44805</v>
      </c>
      <c r="B51" s="121" cm="1">
        <f t="array" ref="B51">IF(A51&lt;=DATE3,SUM(IF((INDEX(INDEX,,1)=A51)*(INDEX(INDEX,3,)="TP01"),INDEX(INDEX,,),0)),"")</f>
        <v>128.4</v>
      </c>
      <c r="C51" s="94" cm="1">
        <f t="array" ref="C51">IF(A51&lt;=DATE3,SUM(IF((INDEX(INDEX,,1)=A51)*(INDEX(INDEX,3,)=C14),INDEX(INDEX,,),0)),"")</f>
        <v>130.9</v>
      </c>
      <c r="D51" s="33" cm="1">
        <f t="array" ref="D51">IF($A51&lt;=DATE4,SUM(IF((INDEX(INDICES,,1)=$A51)*(INDEX(INDICES,5,)=D$14),INDEX(INDICES,,),0)),NA())</f>
        <v>117.1</v>
      </c>
      <c r="E51" s="33" cm="1">
        <f t="array" ref="E51">IF($A51&lt;=DATE4,SUM(IF((INDEX(INDICES,,1)=$A51)*(INDEX(INDICES,5,)=E$14),INDEX(INDICES,,),0)),NA())</f>
        <v>123.7</v>
      </c>
      <c r="F51" s="33" cm="1">
        <f t="array" ref="F51">IF($A51&lt;=DATE4,SUM(IF((INDEX(INDICES,,1)=$A51)*(INDEX(INDICES,5,)=F$14),INDEX(INDICES,,),0)),NA())</f>
        <v>175</v>
      </c>
      <c r="G51" s="33" cm="1">
        <f t="array" ref="G51">IF($A51&lt;=DATE4,SUM(IF((INDEX(INDICES,,1)=$A51)*(INDEX(INDICES,5,)=G$14),INDEX(INDICES,,),0)),NA())</f>
        <v>114.6</v>
      </c>
      <c r="H51" s="33" cm="1">
        <f t="array" ref="H51">IF($A51&lt;=DATE4,SUM(IF((INDEX(INDICES,,1)=$A51)*(INDEX(INDICES,5,)=H$14),INDEX(INDICES,,),0)),NA())</f>
        <v>229.2</v>
      </c>
      <c r="K51" t="str">
        <v>Tôles quarto et autres produits plats en aciers non alliés de qualité</v>
      </c>
      <c r="L51" s="105">
        <v>0</v>
      </c>
      <c r="M51" t="str">
        <v>Tôles quarto et autres produits plats en aciers non alliés de qualité</v>
      </c>
      <c r="N51">
        <v>0</v>
      </c>
      <c r="P51" t="s">
        <v>91</v>
      </c>
      <c r="Q51" t="str">
        <v>Tôles quarto et autres produits plats en aciers non alliés de qualité</v>
      </c>
      <c r="R51" s="21">
        <v>0.28805031446540896</v>
      </c>
      <c r="S51" s="21">
        <v>0.98017887357988864</v>
      </c>
      <c r="T51" s="171"/>
    </row>
    <row r="52" spans="1:20" x14ac:dyDescent="0.25">
      <c r="A52" s="1" t="str">
        <f t="shared" si="0"/>
        <v/>
      </c>
      <c r="C52" s="33"/>
      <c r="D52" s="33"/>
      <c r="E52" s="103"/>
      <c r="F52" s="33"/>
      <c r="K52" t="str">
        <v>Éléments en métal pour la construction</v>
      </c>
      <c r="L52" s="105">
        <v>0</v>
      </c>
      <c r="M52" t="str">
        <v>Éléments en métal pour la construction</v>
      </c>
      <c r="N52">
        <v>0</v>
      </c>
      <c r="P52" t="s">
        <v>92</v>
      </c>
      <c r="Q52" t="str">
        <v>Éléments en métal pour la construction</v>
      </c>
      <c r="R52" s="21">
        <v>0.14867873390765673</v>
      </c>
      <c r="S52" s="21">
        <v>0.20845213849287192</v>
      </c>
      <c r="T52" s="171"/>
    </row>
    <row r="53" spans="1:20" x14ac:dyDescent="0.25">
      <c r="A53" s="1" t="str">
        <f>IF(A52&lt;=DATE3,EDATE(A52,1),"")</f>
        <v/>
      </c>
      <c r="C53" s="33"/>
      <c r="D53" s="33"/>
      <c r="E53" s="103"/>
      <c r="F53" s="33"/>
      <c r="K53" t="str">
        <v>Restaurants et hôtels</v>
      </c>
      <c r="L53" s="105">
        <v>0</v>
      </c>
      <c r="M53" t="str">
        <v>Restaurants et hôtels</v>
      </c>
      <c r="N53">
        <v>0</v>
      </c>
      <c r="P53" t="s">
        <v>93</v>
      </c>
      <c r="Q53" t="str">
        <v>Restaurants et hôtels</v>
      </c>
      <c r="R53" s="21">
        <v>4.531817625209178E-2</v>
      </c>
      <c r="S53" s="21">
        <v>4.9849856005247162E-2</v>
      </c>
      <c r="T53" s="171"/>
    </row>
    <row r="54" spans="1:20" x14ac:dyDescent="0.25">
      <c r="A54" s="1"/>
      <c r="C54" s="33"/>
      <c r="D54" s="33"/>
      <c r="E54" s="33"/>
      <c r="F54" s="33"/>
      <c r="K54" t="str">
        <v>Traitement et élimination des déchets non dangereux</v>
      </c>
      <c r="L54" s="105">
        <v>0</v>
      </c>
      <c r="M54" t="str">
        <v>Traitement et élimination des déchets non dangereux</v>
      </c>
      <c r="N54">
        <v>0</v>
      </c>
      <c r="P54" t="s">
        <v>94</v>
      </c>
      <c r="Q54" t="str">
        <v>Traitement et élimination des déchets non dangereux</v>
      </c>
      <c r="R54" s="21">
        <v>7.5806147463699958E-2</v>
      </c>
      <c r="S54" s="21">
        <v>0.12992671816201229</v>
      </c>
      <c r="T54" s="171"/>
    </row>
    <row r="55" spans="1:20" x14ac:dyDescent="0.25">
      <c r="A55" s="1"/>
      <c r="C55" s="33"/>
      <c r="D55" s="33"/>
      <c r="E55" s="33"/>
      <c r="F55" s="33"/>
      <c r="K55" t="str">
        <v>Collecte, traitement et élimination des déchets ; récupération de matériaux</v>
      </c>
      <c r="L55" s="105">
        <v>0</v>
      </c>
      <c r="M55" t="str">
        <v>Collecte, traitement et élimination des déchets ; récupération de matériaux</v>
      </c>
      <c r="N55">
        <v>0</v>
      </c>
      <c r="P55" t="s">
        <v>95</v>
      </c>
      <c r="Q55" t="str">
        <v>Collecte, traitement et élimination des déchets ; récupération de matériaux</v>
      </c>
      <c r="R55" s="21">
        <v>0.13794713738675646</v>
      </c>
      <c r="S55" s="21">
        <v>0.359063022866704</v>
      </c>
      <c r="T55" s="171"/>
    </row>
    <row r="56" spans="1:20" x14ac:dyDescent="0.25">
      <c r="A56" s="1"/>
      <c r="C56" s="33"/>
      <c r="D56" s="33"/>
      <c r="E56" s="33"/>
      <c r="F56" s="33"/>
    </row>
    <row r="57" spans="1:20" x14ac:dyDescent="0.25">
      <c r="A57" s="1"/>
      <c r="C57" s="33"/>
      <c r="D57" s="33"/>
      <c r="E57" s="33"/>
      <c r="F57" s="33"/>
    </row>
    <row r="58" spans="1:20" x14ac:dyDescent="0.25">
      <c r="A58" s="1"/>
    </row>
    <row r="59" spans="1:20" x14ac:dyDescent="0.25">
      <c r="A59" s="1"/>
    </row>
    <row r="60" spans="1:20" x14ac:dyDescent="0.25">
      <c r="A60" s="1"/>
      <c r="B60" s="96"/>
    </row>
    <row r="61" spans="1:20" x14ac:dyDescent="0.25">
      <c r="A61" s="1"/>
    </row>
    <row r="62" spans="1:20" x14ac:dyDescent="0.25">
      <c r="A62" s="1"/>
    </row>
    <row r="63" spans="1:20" x14ac:dyDescent="0.25">
      <c r="A63" s="1"/>
    </row>
    <row r="64" spans="1:20"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sheetData>
  <sheetProtection algorithmName="SHA-512" hashValue="Nk26Odn1X87LKeaLrKGkxBNpsiRkYzyn4L8PepsqnX2rxObLDa42t9lLyjW37Vbp1gjag3VEYjrWbybvohx8eg==" saltValue="rMeZ3zZW6LsGbkQ8E4TTGQ=="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topLeftCell="B34" workbookViewId="0">
      <selection activeCell="E56" sqref="E56"/>
    </sheetView>
  </sheetViews>
  <sheetFormatPr baseColWidth="10" defaultRowHeight="15" x14ac:dyDescent="0.25"/>
  <sheetData>
    <row r="1" spans="1:19" x14ac:dyDescent="0.25">
      <c r="A1" t="s">
        <v>197</v>
      </c>
      <c r="C1" t="str">
        <f>'RESULTATS 3-6 MOIS GLISSANTS'!B4</f>
        <v>TP02</v>
      </c>
    </row>
    <row r="2" spans="1:19" x14ac:dyDescent="0.25">
      <c r="A2" t="s">
        <v>193</v>
      </c>
      <c r="C2" s="120">
        <f>SUM(INDEX(compo_index,MATCH(C1,'COMPOSITION INDEX'!A1:A26),2))</f>
        <v>0.1</v>
      </c>
    </row>
    <row r="4" spans="1:19" x14ac:dyDescent="0.25">
      <c r="A4" t="str">
        <f>"Composition globale du "&amp;C1</f>
        <v>Composition globale du TP02</v>
      </c>
    </row>
    <row r="5" spans="1:19" x14ac:dyDescent="0.25">
      <c r="A5" s="102" t="s">
        <v>185</v>
      </c>
      <c r="B5" s="102" t="s">
        <v>134</v>
      </c>
      <c r="C5" cm="1">
        <f t="array" ref="C5">SUM(IF((INDEX(compo_index,1,)=A5)*(INDEX(compo_index,,1)=C1),INDEX(compo_index,,),0))</f>
        <v>0.15</v>
      </c>
      <c r="G5" s="106" t="s">
        <v>56</v>
      </c>
      <c r="H5" s="102" t="s">
        <v>134</v>
      </c>
    </row>
    <row r="6" spans="1:19" x14ac:dyDescent="0.25">
      <c r="A6" s="102" t="s">
        <v>186</v>
      </c>
      <c r="B6" s="102" t="s">
        <v>135</v>
      </c>
      <c r="C6" s="121" cm="1">
        <f t="array" ref="C6">SUM(IF((INDEX(compo_index,1,)=A6)*(INDEX(compo_index,,1)=C1),INDEX(compo_index,,),0))</f>
        <v>0.55000000000000004</v>
      </c>
      <c r="G6" s="102" t="s">
        <v>57</v>
      </c>
      <c r="H6" s="102" t="s">
        <v>135</v>
      </c>
    </row>
    <row r="7" spans="1:19" x14ac:dyDescent="0.25">
      <c r="A7" s="102" t="s">
        <v>187</v>
      </c>
      <c r="B7" s="102" t="s">
        <v>194</v>
      </c>
      <c r="C7" s="121" cm="1">
        <f t="array" ref="C7">SUM(IF((INDEX(compo_index,1,)=A7)*(INDEX(compo_index,,1)=C1),INDEX(compo_index,,),0))</f>
        <v>0.01</v>
      </c>
      <c r="G7" s="106" t="s">
        <v>280</v>
      </c>
      <c r="H7" s="102" t="s">
        <v>137</v>
      </c>
    </row>
    <row r="8" spans="1:19" x14ac:dyDescent="0.25">
      <c r="A8" s="102" t="s">
        <v>190</v>
      </c>
      <c r="B8" s="102" t="s">
        <v>195</v>
      </c>
      <c r="C8" s="121" cm="1">
        <f t="array" ref="C8">SUM(IF((INDEX(compo_index,1,)=A8)*(INDEX(compo_index,,1)=C1),INDEX(compo_index,,),0))</f>
        <v>0.27</v>
      </c>
      <c r="G8" s="106" t="s">
        <v>59</v>
      </c>
      <c r="H8" s="102" t="s">
        <v>138</v>
      </c>
    </row>
    <row r="9" spans="1:19" x14ac:dyDescent="0.25">
      <c r="A9" s="102" t="s">
        <v>188</v>
      </c>
      <c r="B9" s="102" t="s">
        <v>139</v>
      </c>
      <c r="C9" s="121" cm="1">
        <f t="array" ref="C9">SUM(IF((INDEX(compo_index,1,)=A9)*(INDEX(compo_index,,1)=C1),INDEX(compo_index,,),0))</f>
        <v>0.01</v>
      </c>
      <c r="G9" s="106" t="s">
        <v>60</v>
      </c>
      <c r="H9" s="102" t="s">
        <v>139</v>
      </c>
    </row>
    <row r="10" spans="1:19" x14ac:dyDescent="0.25">
      <c r="A10" s="102" t="s">
        <v>189</v>
      </c>
      <c r="B10" s="102" t="s">
        <v>183</v>
      </c>
      <c r="C10" s="121" cm="1">
        <f t="array" ref="C10">SUM(IF((INDEX(compo_index,1,)=A10)*(INDEX(compo_index,,1)=C1),INDEX(compo_index,,),0))</f>
        <v>0.01</v>
      </c>
      <c r="G10" s="106" t="s">
        <v>61</v>
      </c>
      <c r="H10" s="102" t="s">
        <v>140</v>
      </c>
    </row>
    <row r="11" spans="1:19" x14ac:dyDescent="0.25">
      <c r="A11" s="102" t="s">
        <v>191</v>
      </c>
      <c r="B11" s="102" t="s">
        <v>196</v>
      </c>
      <c r="C11" s="121" cm="1">
        <f t="array" ref="C11">SUM(IF((INDEX(compo_index,1,)=A11)*(INDEX(compo_index,,1)=C1),INDEX(compo_index,,),0))</f>
        <v>0</v>
      </c>
    </row>
    <row r="14" spans="1:19" x14ac:dyDescent="0.25">
      <c r="B14" t="s">
        <v>24</v>
      </c>
      <c r="C14" t="str">
        <f>C1</f>
        <v>TP02</v>
      </c>
      <c r="D14" t="s">
        <v>134</v>
      </c>
      <c r="E14" s="102" t="s">
        <v>135</v>
      </c>
      <c r="F14" s="102" t="s">
        <v>137</v>
      </c>
      <c r="G14" s="102" t="str">
        <f>IF(OR(M15=E14,M15=D14),IF(OR(M16=E14, M16=D14),M17,M16),M15)</f>
        <v>Béton prêt à l'emploi</v>
      </c>
      <c r="H14" s="102" t="str">
        <f>IF(OR(M16=D14,M16=E14,M16=G14),M18,M16)</f>
        <v>Barres crénelées ou nervurées pour béton armé</v>
      </c>
      <c r="L14" s="96" t="str">
        <f>C14</f>
        <v>TP02</v>
      </c>
    </row>
    <row r="15" spans="1:19" x14ac:dyDescent="0.25">
      <c r="B15" s="96"/>
      <c r="D15" t="str">
        <f>HLOOKUP(D14,'COMPOSITION INDEX'!$A$2:$AR$3,2,FALSE)</f>
        <v>001711009</v>
      </c>
      <c r="E15" t="str">
        <f>HLOOKUP(E14,'COMPOSITION INDEX'!$A$2:$AR$3,2,FALSE)</f>
        <v>5540998</v>
      </c>
      <c r="F15" t="str">
        <f>HLOOKUP(F14,'COMPOSITION INDEX'!$A$2:$AR$3,2,FALSE)</f>
        <v>010758171</v>
      </c>
      <c r="G15" t="str">
        <f>HLOOKUP(G14,'COMPOSITION INDEX'!$A$2:$AR$3,2,FALSE)</f>
        <v>010534646</v>
      </c>
      <c r="H15" t="str">
        <f>HLOOKUP(H14,'COMPOSITION INDEX'!$A$2:$AR$3,2,FALSE)</f>
        <v>010546545</v>
      </c>
      <c r="K15" t="str" cm="1">
        <f t="array" ref="K15:K55">TRANSPOSE(INDEX('COMPOSITION INDEX'!D1:AR26,2,))</f>
        <v>Matériel</v>
      </c>
      <c r="L15" s="105" cm="1">
        <f t="array" ref="L15:L55">TRANSPOSE(INDEX('COMPOSITION INDEX'!D1:AR26,MATCH(L14,'COMPOSITION INDEX'!A1:A26,0),))</f>
        <v>0.15</v>
      </c>
      <c r="M15" t="str" cm="1">
        <f t="array" ref="M15:N55">_xlfn._xlws.SORT(K15:L55,2,-1)</f>
        <v>Travail</v>
      </c>
      <c r="N15">
        <v>0.55000000000000004</v>
      </c>
      <c r="P15" t="s">
        <v>56</v>
      </c>
      <c r="Q15" t="str" cm="1">
        <f t="array" ref="Q15:S55">'3-6 MOIS GLISSANTS'!C42:E82</f>
        <v>Matériel</v>
      </c>
      <c r="R15" s="21">
        <v>3.0597234480729485E-2</v>
      </c>
      <c r="S15" s="21">
        <v>4.4649614045709107E-2</v>
      </c>
    </row>
    <row r="16" spans="1:19" x14ac:dyDescent="0.25">
      <c r="A16" s="1">
        <f>EDATE(DATE3,-11)</f>
        <v>44470</v>
      </c>
      <c r="B16" cm="1">
        <f t="array" ref="B16">IF(A16&lt;=DATE3,SUM(IF((INDEX(INDEX,,1)=A16)*(INDEX(INDEX,3,)="TP01"),INDEX(INDEX,,),0)),"")</f>
        <v>117.5</v>
      </c>
      <c r="C16" s="94" cm="1">
        <f t="array" ref="C16">IF(A16&lt;=DATE3,SUM(IF((INDEX(INDEX,,1)=A16)*(INDEX(INDEX,3,)=C14),INDEX(INDEX,,),0)),"")</f>
        <v>123.6</v>
      </c>
      <c r="D16" s="33" cm="1">
        <f t="array" ref="D16">IF($A16&lt;=DATE4,SUM(IF((INDEX(INDICES,,1)=$A16)*(INDEX(INDICES,5,)=D$14),INDEX(INDICES,,),0)),NA())</f>
        <v>109</v>
      </c>
      <c r="E16" s="33" cm="1">
        <f t="array" ref="E16">IF($A16&lt;=DATE4,SUM(IF((INDEX(INDICES,,1)=$A16)*(INDEX(INDICES,5,)=E$14),INDEX(INDICES,,),0)),NA())</f>
        <v>122.6</v>
      </c>
      <c r="F16" s="33" cm="1">
        <f t="array" ref="F16">IF($A16&lt;=DATE4,SUM(IF((INDEX(INDICES,,1)=$A16)*(INDEX(INDICES,5,)=F$14),INDEX(INDICES,,),0)),NA())</f>
        <v>145.0804149457305</v>
      </c>
      <c r="G16" s="33" cm="1">
        <f t="array" ref="G16">IF($A16&lt;=DATE4,SUM(IF((INDEX(INDICES,,1)=$A16)*(INDEX(INDICES,5,)=G$14),INDEX(INDICES,,),0)),NA())</f>
        <v>106.4</v>
      </c>
      <c r="H16" s="33" cm="1">
        <f t="array" ref="H16">IF($A16&lt;=DATE4,SUM(IF((INDEX(INDICES,,1)=$A16)*(INDEX(INDICES,5,)=H$14),INDEX(INDICES,,),0)),NA())</f>
        <v>193</v>
      </c>
      <c r="K16" t="str">
        <v>Travail</v>
      </c>
      <c r="L16" s="105">
        <v>0.55000000000000004</v>
      </c>
      <c r="M16" t="str">
        <v>Matériel</v>
      </c>
      <c r="N16">
        <v>0.15</v>
      </c>
      <c r="P16" t="s">
        <v>57</v>
      </c>
      <c r="Q16" t="str">
        <v>Travail</v>
      </c>
      <c r="R16" s="21">
        <v>1.8898488120950852E-3</v>
      </c>
      <c r="S16" s="21">
        <v>7.6097295828236877E-3</v>
      </c>
    </row>
    <row r="17" spans="1:19" x14ac:dyDescent="0.25">
      <c r="A17" s="1">
        <f>EDATE(A16,1)</f>
        <v>44501</v>
      </c>
      <c r="B17" s="194" cm="1">
        <f t="array" ref="B17">IF(A17&lt;=DATE3,SUM(IF((INDEX(INDEX,,1)=A17)*(INDEX(INDEX,3,)="TP01"),INDEX(INDEX,,),0)),"")</f>
        <v>118.2</v>
      </c>
      <c r="C17" s="94" cm="1">
        <f t="array" ref="C17">IF(A17&lt;=DATE3,SUM(IF((INDEX(INDEX,,1)=A17)*(INDEX(INDEX,3,)=C14),INDEX(INDEX,,),0)),"")</f>
        <v>124</v>
      </c>
      <c r="D17" s="33" cm="1">
        <f t="array" ref="D17">IF($A17&lt;=DATE4,SUM(IF((INDEX(INDICES,,1)=$A17)*(INDEX(INDICES,5,)=D$14),INDEX(INDICES,,),0)),NA())</f>
        <v>109.1</v>
      </c>
      <c r="E17" s="33" cm="1">
        <f t="array" ref="E17">IF($A17&lt;=DATE4,SUM(IF((INDEX(INDICES,,1)=$A17)*(INDEX(INDICES,5,)=E$14),INDEX(INDICES,,),0)),NA())</f>
        <v>122.5</v>
      </c>
      <c r="F17" s="33" cm="1">
        <f t="array" ref="F17">IF($A17&lt;=DATE4,SUM(IF((INDEX(INDICES,,1)=$A17)*(INDEX(INDICES,5,)=F$14),INDEX(INDICES,,),0)),NA())</f>
        <v>146.98121217942563</v>
      </c>
      <c r="G17" s="33" cm="1">
        <f t="array" ref="G17">IF($A17&lt;=DATE4,SUM(IF((INDEX(INDICES,,1)=$A17)*(INDEX(INDICES,5,)=G$14),INDEX(INDICES,,),0)),NA())</f>
        <v>107</v>
      </c>
      <c r="H17" s="33" cm="1">
        <f t="array" ref="H17">IF($A17&lt;=DATE4,SUM(IF((INDEX(INDICES,,1)=$A17)*(INDEX(INDICES,5,)=H$14),INDEX(INDICES,,),0)),NA())</f>
        <v>193.5</v>
      </c>
      <c r="K17" t="str">
        <v>GNR</v>
      </c>
      <c r="L17" s="105">
        <v>0</v>
      </c>
      <c r="M17" t="str">
        <v>Béton prêt à l'emploi</v>
      </c>
      <c r="N17">
        <v>0.12</v>
      </c>
      <c r="P17" t="s">
        <v>58</v>
      </c>
      <c r="Q17" t="str">
        <v>Travail activités spécialisées</v>
      </c>
      <c r="R17" s="21">
        <v>2.6631158455392434E-3</v>
      </c>
      <c r="S17" s="21">
        <v>1.4160485502360043E-2</v>
      </c>
    </row>
    <row r="18" spans="1:19" x14ac:dyDescent="0.25">
      <c r="A18" s="1">
        <f t="shared" ref="A18:A27" si="0">EDATE(A17,1)</f>
        <v>44531</v>
      </c>
      <c r="B18" s="194" cm="1">
        <f t="array" ref="B18">IF(A18&lt;=DATE3,SUM(IF((INDEX(INDEX,,1)=A18)*(INDEX(INDEX,3,)="TP01"),INDEX(INDEX,,),0)),"")</f>
        <v>118.8</v>
      </c>
      <c r="C18" s="94" cm="1">
        <f t="array" ref="C18">IF(A18&lt;=DATE3,SUM(IF((INDEX(INDEX,,1)=A18)*(INDEX(INDEX,3,)=C14),INDEX(INDEX,,),0)),"")</f>
        <v>124.4</v>
      </c>
      <c r="D18" s="33" cm="1">
        <f t="array" ref="D18">IF($A18&lt;=DATE4,SUM(IF((INDEX(INDICES,,1)=$A18)*(INDEX(INDICES,5,)=D$14),INDEX(INDICES,,),0)),NA())</f>
        <v>109.4</v>
      </c>
      <c r="E18" s="33" cm="1">
        <f t="array" ref="E18">IF($A18&lt;=DATE4,SUM(IF((INDEX(INDICES,,1)=$A18)*(INDEX(INDICES,5,)=E$14),INDEX(INDICES,,),0)),NA())</f>
        <v>122.4</v>
      </c>
      <c r="F18" s="33" cm="1">
        <f t="array" ref="F18">IF($A18&lt;=DATE4,SUM(IF((INDEX(INDICES,,1)=$A18)*(INDEX(INDICES,5,)=F$14),INDEX(INDICES,,),0)),NA())</f>
        <v>143.4</v>
      </c>
      <c r="G18" s="33" cm="1">
        <f t="array" ref="G18">IF($A18&lt;=DATE4,SUM(IF((INDEX(INDICES,,1)=$A18)*(INDEX(INDICES,5,)=G$14),INDEX(INDICES,,),0)),NA())</f>
        <v>106.9</v>
      </c>
      <c r="H18" s="33" cm="1">
        <f t="array" ref="H18">IF($A18&lt;=DATE4,SUM(IF((INDEX(INDICES,,1)=$A18)*(INDEX(INDICES,5,)=H$14),INDEX(INDICES,,),0)),NA())</f>
        <v>192.6</v>
      </c>
      <c r="K18" t="str">
        <v>Gazole</v>
      </c>
      <c r="L18" s="105">
        <v>0</v>
      </c>
      <c r="M18" t="str">
        <v>Barres crénelées ou nervurées pour béton armé</v>
      </c>
      <c r="N18">
        <v>0.09</v>
      </c>
      <c r="P18" s="94" t="s">
        <v>280</v>
      </c>
      <c r="Q18" t="str">
        <v>GNR</v>
      </c>
      <c r="R18" s="21">
        <v>-5.712849723571789E-2</v>
      </c>
      <c r="S18" s="21">
        <v>0.179321999161556</v>
      </c>
    </row>
    <row r="19" spans="1:19" x14ac:dyDescent="0.25">
      <c r="A19" s="1">
        <f t="shared" si="0"/>
        <v>44562</v>
      </c>
      <c r="B19" s="194" cm="1">
        <f t="array" ref="B19">IF(A19&lt;=DATE3,SUM(IF((INDEX(INDEX,,1)=A19)*(INDEX(INDEX,3,)="TP01"),INDEX(INDEX,,),0)),"")</f>
        <v>119.9</v>
      </c>
      <c r="C19" s="94" cm="1">
        <f t="array" ref="C19">IF(A19&lt;=DATE3,SUM(IF((INDEX(INDEX,,1)=A19)*(INDEX(INDEX,3,)=C14),INDEX(INDEX,,),0)),"")</f>
        <v>125.3</v>
      </c>
      <c r="D19" s="33" cm="1">
        <f t="array" ref="D19">IF($A19&lt;=DATE4,SUM(IF((INDEX(INDICES,,1)=$A19)*(INDEX(INDICES,5,)=D$14),INDEX(INDICES,,),0)),NA())</f>
        <v>110.8</v>
      </c>
      <c r="E19" s="33" cm="1">
        <f t="array" ref="E19">IF($A19&lt;=DATE4,SUM(IF((INDEX(INDICES,,1)=$A19)*(INDEX(INDICES,5,)=E$14),INDEX(INDICES,,),0)),NA())</f>
        <v>122.6</v>
      </c>
      <c r="F19" s="33" cm="1">
        <f t="array" ref="F19">IF($A19&lt;=DATE4,SUM(IF((INDEX(INDICES,,1)=$A19)*(INDEX(INDICES,5,)=F$14),INDEX(INDICES,,),0)),NA())</f>
        <v>156.1</v>
      </c>
      <c r="G19" s="33" cm="1">
        <f t="array" ref="G19">IF($A19&lt;=DATE4,SUM(IF((INDEX(INDICES,,1)=$A19)*(INDEX(INDICES,5,)=G$14),INDEX(INDICES,,),0)),NA())</f>
        <v>109.8</v>
      </c>
      <c r="H19" s="33" cm="1">
        <f t="array" ref="H19">IF($A19&lt;=DATE4,SUM(IF((INDEX(INDICES,,1)=$A19)*(INDEX(INDICES,5,)=H$14),INDEX(INDICES,,),0)),NA())</f>
        <v>193.7</v>
      </c>
      <c r="K19" t="str">
        <v>Frais divers</v>
      </c>
      <c r="L19" s="105">
        <v>0.01</v>
      </c>
      <c r="M19" t="str">
        <v>Tubes, tuyaux en matière plastique</v>
      </c>
      <c r="N19">
        <v>0.04</v>
      </c>
      <c r="P19" t="s">
        <v>59</v>
      </c>
      <c r="Q19" t="str">
        <v>Gazole</v>
      </c>
      <c r="R19" s="21">
        <v>-4.0537550043253434E-2</v>
      </c>
      <c r="S19" s="21">
        <v>0.14277836442567171</v>
      </c>
    </row>
    <row r="20" spans="1:19" x14ac:dyDescent="0.25">
      <c r="A20" s="1">
        <f t="shared" si="0"/>
        <v>44593</v>
      </c>
      <c r="B20" s="194" cm="1">
        <f t="array" ref="B20">IF(A20&lt;=DATE3,SUM(IF((INDEX(INDEX,,1)=A20)*(INDEX(INDEX,3,)="TP01"),INDEX(INDEX,,),0)),"")</f>
        <v>121.3</v>
      </c>
      <c r="C20" s="94" cm="1">
        <f t="array" ref="C20">IF(A20&lt;=DATE3,SUM(IF((INDEX(INDEX,,1)=A20)*(INDEX(INDEX,3,)=C14),INDEX(INDEX,,),0)),"")</f>
        <v>125.7</v>
      </c>
      <c r="D20" s="33" cm="1">
        <f t="array" ref="D20">IF($A20&lt;=DATE4,SUM(IF((INDEX(INDICES,,1)=$A20)*(INDEX(INDICES,5,)=D$14),INDEX(INDICES,,),0)),NA())</f>
        <v>111.3</v>
      </c>
      <c r="E20" s="33" cm="1">
        <f t="array" ref="E20">IF($A20&lt;=DATE4,SUM(IF((INDEX(INDICES,,1)=$A20)*(INDEX(INDICES,5,)=E$14),INDEX(INDICES,,),0)),NA())</f>
        <v>122.8</v>
      </c>
      <c r="F20" s="33" cm="1">
        <f t="array" ref="F20">IF($A20&lt;=DATE4,SUM(IF((INDEX(INDICES,,1)=$A20)*(INDEX(INDICES,5,)=F$14),INDEX(INDICES,,),0)),NA())</f>
        <v>167.4</v>
      </c>
      <c r="G20" s="33" cm="1">
        <f t="array" ref="G20">IF($A20&lt;=DATE4,SUM(IF((INDEX(INDICES,,1)=$A20)*(INDEX(INDICES,5,)=G$14),INDEX(INDICES,,),0)),NA())</f>
        <v>109.6</v>
      </c>
      <c r="H20" s="33" cm="1">
        <f t="array" ref="H20">IF($A20&lt;=DATE4,SUM(IF((INDEX(INDICES,,1)=$A20)*(INDEX(INDICES,5,)=H$14),INDEX(INDICES,,),0)),NA())</f>
        <v>196.9</v>
      </c>
      <c r="K20" t="str">
        <v>Transports routiers</v>
      </c>
      <c r="L20" s="105">
        <v>0.01</v>
      </c>
      <c r="M20" t="str">
        <v>Ensemble des produits du sciage</v>
      </c>
      <c r="N20">
        <v>0.02</v>
      </c>
      <c r="P20" t="s">
        <v>60</v>
      </c>
      <c r="Q20" t="str">
        <v>Frais divers</v>
      </c>
      <c r="R20" s="21">
        <v>3.372478169226123E-2</v>
      </c>
      <c r="S20" s="21">
        <v>5.679862306368344E-2</v>
      </c>
    </row>
    <row r="21" spans="1:19" x14ac:dyDescent="0.25">
      <c r="A21" s="1">
        <f t="shared" si="0"/>
        <v>44621</v>
      </c>
      <c r="B21" s="194" cm="1">
        <f t="array" ref="B21">IF(A21&lt;=DATE3,SUM(IF((INDEX(INDEX,,1)=A21)*(INDEX(INDEX,3,)="TP01"),INDEX(INDEX,,),0)),"")</f>
        <v>124.7</v>
      </c>
      <c r="C21" s="94" cm="1">
        <f t="array" ref="C21">IF(A21&lt;=DATE3,SUM(IF((INDEX(INDEX,,1)=A21)*(INDEX(INDEX,3,)=C14),INDEX(INDEX,,),0)),"")</f>
        <v>127.2</v>
      </c>
      <c r="D21" s="33" cm="1">
        <f t="array" ref="D21">IF($A21&lt;=DATE4,SUM(IF((INDEX(INDICES,,1)=$A21)*(INDEX(INDICES,5,)=D$14),INDEX(INDICES,,),0)),NA())</f>
        <v>111.1</v>
      </c>
      <c r="E21" s="33" cm="1">
        <f t="array" ref="E21">IF($A21&lt;=DATE4,SUM(IF((INDEX(INDICES,,1)=$A21)*(INDEX(INDICES,5,)=E$14),INDEX(INDICES,,),0)),NA())</f>
        <v>123</v>
      </c>
      <c r="F21" s="33" cm="1">
        <f t="array" ref="F21">IF($A21&lt;=DATE4,SUM(IF((INDEX(INDICES,,1)=$A21)*(INDEX(INDICES,5,)=F$14),INDEX(INDICES,,),0)),NA())</f>
        <v>224.4</v>
      </c>
      <c r="G21" s="33" cm="1">
        <f t="array" ref="G21">IF($A21&lt;=DATE4,SUM(IF((INDEX(INDICES,,1)=$A21)*(INDEX(INDICES,5,)=G$14),INDEX(INDICES,,),0)),NA())</f>
        <v>109.3</v>
      </c>
      <c r="H21" s="33" cm="1">
        <f t="array" ref="H21">IF($A21&lt;=DATE4,SUM(IF((INDEX(INDICES,,1)=$A21)*(INDEX(INDICES,5,)=H$14),INDEX(INDICES,,),0)),NA())</f>
        <v>213.4</v>
      </c>
      <c r="K21" t="str">
        <v>Travail activités spécialisées</v>
      </c>
      <c r="L21" s="105">
        <v>0</v>
      </c>
      <c r="M21" t="str">
        <v>Frais divers</v>
      </c>
      <c r="N21">
        <v>0.01</v>
      </c>
      <c r="P21" t="s">
        <v>61</v>
      </c>
      <c r="Q21" t="str">
        <v>Transports routiers</v>
      </c>
      <c r="R21" s="21">
        <v>1.7376194613379692E-2</v>
      </c>
      <c r="S21" s="21">
        <v>4.5004500450045226E-2</v>
      </c>
    </row>
    <row r="22" spans="1:19" x14ac:dyDescent="0.25">
      <c r="A22" s="1">
        <f t="shared" si="0"/>
        <v>44652</v>
      </c>
      <c r="B22" s="194" cm="1">
        <f t="array" ref="B22">IF(A22&lt;=DATE3,SUM(IF((INDEX(INDEX,,1)=A22)*(INDEX(INDEX,3,)="TP01"),INDEX(INDEX,,),0)),"")</f>
        <v>126.6</v>
      </c>
      <c r="C22" s="94" cm="1">
        <f t="array" ref="C22">IF(A22&lt;=DATE3,SUM(IF((INDEX(INDEX,,1)=A22)*(INDEX(INDEX,3,)=C14),INDEX(INDEX,,),0)),"")</f>
        <v>131</v>
      </c>
      <c r="D22" s="33" cm="1">
        <f t="array" ref="D22">IF($A22&lt;=DATE4,SUM(IF((INDEX(INDICES,,1)=$A22)*(INDEX(INDICES,5,)=D$14),INDEX(INDICES,,),0)),NA())</f>
        <v>113.4</v>
      </c>
      <c r="E22" s="33" cm="1">
        <f t="array" ref="E22">IF($A22&lt;=DATE4,SUM(IF((INDEX(INDICES,,1)=$A22)*(INDEX(INDICES,5,)=E$14),INDEX(INDICES,,),0)),NA())</f>
        <v>123.2</v>
      </c>
      <c r="F22" s="33" cm="1">
        <f t="array" ref="F22">IF($A22&lt;=DATE4,SUM(IF((INDEX(INDICES,,1)=$A22)*(INDEX(INDICES,5,)=F$14),INDEX(INDICES,,),0)),NA())</f>
        <v>188.1</v>
      </c>
      <c r="G22" s="33" cm="1">
        <f t="array" ref="G22">IF($A22&lt;=DATE4,SUM(IF((INDEX(INDICES,,1)=$A22)*(INDEX(INDICES,5,)=G$14),INDEX(INDICES,,),0)),NA())</f>
        <v>111.3</v>
      </c>
      <c r="H22" s="33" cm="1">
        <f t="array" ref="H22">IF($A22&lt;=DATE4,SUM(IF((INDEX(INDICES,,1)=$A22)*(INDEX(INDICES,5,)=H$14),INDEX(INDICES,,),0)),NA())</f>
        <v>249.2</v>
      </c>
      <c r="K22" t="str">
        <v>Électricité vendue aux entreprises consommatrices finales</v>
      </c>
      <c r="L22" s="105">
        <v>0.01</v>
      </c>
      <c r="M22" t="str">
        <v>Transports routiers</v>
      </c>
      <c r="N22">
        <v>0.01</v>
      </c>
      <c r="P22" t="s">
        <v>62</v>
      </c>
      <c r="Q22" t="str">
        <v>Électricité vendue aux entreprises consommatrices finales</v>
      </c>
      <c r="R22" s="21">
        <v>-0.12578012481997114</v>
      </c>
      <c r="S22" s="21">
        <v>-9.3673824724318289E-2</v>
      </c>
    </row>
    <row r="23" spans="1:19" x14ac:dyDescent="0.25">
      <c r="A23" s="1">
        <f t="shared" si="0"/>
        <v>44682</v>
      </c>
      <c r="B23" s="194" cm="1">
        <f t="array" ref="B23">IF(A23&lt;=DATE3,SUM(IF((INDEX(INDEX,,1)=A23)*(INDEX(INDEX,3,)="TP01"),INDEX(INDEX,,),0)),"")</f>
        <v>127.3</v>
      </c>
      <c r="C23" s="94" cm="1">
        <f t="array" ref="C23">IF(A23&lt;=DATE3,SUM(IF((INDEX(INDEX,,1)=A23)*(INDEX(INDEX,3,)=C14),INDEX(INDEX,,),0)),"")</f>
        <v>133.30000000000001</v>
      </c>
      <c r="D23" s="33" cm="1">
        <f t="array" ref="D23">IF($A23&lt;=DATE4,SUM(IF((INDEX(INDICES,,1)=$A23)*(INDEX(INDICES,5,)=D$14),INDEX(INDICES,,),0)),NA())</f>
        <v>113.2</v>
      </c>
      <c r="E23" s="33" cm="1">
        <f t="array" ref="E23">IF($A23&lt;=DATE4,SUM(IF((INDEX(INDICES,,1)=$A23)*(INDEX(INDICES,5,)=E$14),INDEX(INDICES,,),0)),NA())</f>
        <v>123.5</v>
      </c>
      <c r="F23" s="33" cm="1">
        <f t="array" ref="F23">IF($A23&lt;=DATE4,SUM(IF((INDEX(INDICES,,1)=$A23)*(INDEX(INDICES,5,)=F$14),INDEX(INDICES,,),0)),NA())</f>
        <v>188.8</v>
      </c>
      <c r="G23" s="33" cm="1">
        <f t="array" ref="G23">IF($A23&lt;=DATE4,SUM(IF((INDEX(INDICES,,1)=$A23)*(INDEX(INDICES,5,)=G$14),INDEX(INDICES,,),0)),NA())</f>
        <v>112.6</v>
      </c>
      <c r="H23" s="33" cm="1">
        <f t="array" ref="H23">IF($A23&lt;=DATE4,SUM(IF((INDEX(INDICES,,1)=$A23)*(INDEX(INDICES,5,)=H$14),INDEX(INDICES,,),0)),NA())</f>
        <v>270.7</v>
      </c>
      <c r="K23" t="str">
        <v>Gaz naturel</v>
      </c>
      <c r="L23" s="105">
        <v>0</v>
      </c>
      <c r="M23" t="str">
        <v>Électricité vendue aux entreprises consommatrices finales</v>
      </c>
      <c r="N23">
        <v>0.01</v>
      </c>
      <c r="P23" t="s">
        <v>63</v>
      </c>
      <c r="Q23" t="str">
        <v>Gaz naturel</v>
      </c>
      <c r="R23" s="21">
        <v>0.54948535233570839</v>
      </c>
      <c r="S23" s="21">
        <v>0.45761816741484029</v>
      </c>
    </row>
    <row r="24" spans="1:19" x14ac:dyDescent="0.25">
      <c r="A24" s="1">
        <f t="shared" si="0"/>
        <v>44713</v>
      </c>
      <c r="B24" s="194" cm="1">
        <f t="array" ref="B24">IF(A24&lt;=DATE3,SUM(IF((INDEX(INDEX,,1)=A24)*(INDEX(INDEX,3,)="TP01"),INDEX(INDEX,,),0)),"")</f>
        <v>129.1</v>
      </c>
      <c r="C24" s="94" cm="1">
        <f t="array" ref="C24">IF(A24&lt;=DATE3,SUM(IF((INDEX(INDEX,,1)=A24)*(INDEX(INDEX,3,)=C14),INDEX(INDEX,,),0)),"")</f>
        <v>132.19999999999999</v>
      </c>
      <c r="D24" s="33" cm="1">
        <f t="array" ref="D24">IF($A24&lt;=DATE4,SUM(IF((INDEX(INDICES,,1)=$A24)*(INDEX(INDICES,5,)=D$14),INDEX(INDICES,,),0)),NA())</f>
        <v>113.3</v>
      </c>
      <c r="E24" s="33" cm="1">
        <f t="array" ref="E24">IF($A24&lt;=DATE4,SUM(IF((INDEX(INDICES,,1)=$A24)*(INDEX(INDICES,5,)=E$14),INDEX(INDICES,,),0)),NA())</f>
        <v>123.7</v>
      </c>
      <c r="F24" s="33" cm="1">
        <f t="array" ref="F24">IF($A24&lt;=DATE4,SUM(IF((INDEX(INDICES,,1)=$A24)*(INDEX(INDICES,5,)=F$14),INDEX(INDICES,,),0)),NA())</f>
        <v>220</v>
      </c>
      <c r="G24" s="33" cm="1">
        <f t="array" ref="G24">IF($A24&lt;=DATE4,SUM(IF((INDEX(INDICES,,1)=$A24)*(INDEX(INDICES,5,)=G$14),INDEX(INDICES,,),0)),NA())</f>
        <v>112</v>
      </c>
      <c r="H24" s="33" cm="1">
        <f t="array" ref="H24">IF($A24&lt;=DATE4,SUM(IF((INDEX(INDICES,,1)=$A24)*(INDEX(INDICES,5,)=H$14),INDEX(INDICES,,),0)),NA())</f>
        <v>256.3</v>
      </c>
      <c r="K24" t="str">
        <v>Gazole routier HTT</v>
      </c>
      <c r="L24" s="105">
        <v>0</v>
      </c>
      <c r="M24" t="str">
        <v>GNR</v>
      </c>
      <c r="N24">
        <v>0</v>
      </c>
      <c r="P24" t="s">
        <v>64</v>
      </c>
      <c r="Q24" t="str">
        <v>Gazole routier HTT</v>
      </c>
      <c r="R24" s="21">
        <v>-7.3568486780922204E-2</v>
      </c>
      <c r="S24" s="21">
        <v>0.24151290723061747</v>
      </c>
    </row>
    <row r="25" spans="1:19" x14ac:dyDescent="0.25">
      <c r="A25" s="1">
        <f t="shared" si="0"/>
        <v>44743</v>
      </c>
      <c r="B25" s="194" cm="1">
        <f t="array" ref="B25">IF(A25&lt;=DATE3,SUM(IF((INDEX(INDEX,,1)=A25)*(INDEX(INDEX,3,)="TP01"),INDEX(INDEX,,),0)),"")</f>
        <v>129.1</v>
      </c>
      <c r="C25" s="94" cm="1">
        <f t="array" ref="C25">IF(A25&lt;=DATE3,SUM(IF((INDEX(INDEX,,1)=A25)*(INDEX(INDEX,3,)=C14),INDEX(INDEX,,),0)),"")</f>
        <v>132.19999999999999</v>
      </c>
      <c r="D25" s="33" cm="1">
        <f t="array" ref="D25">IF($A25&lt;=DATE4,SUM(IF((INDEX(INDICES,,1)=$A25)*(INDEX(INDICES,5,)=D$14),INDEX(INDICES,,),0)),NA())</f>
        <v>116.6</v>
      </c>
      <c r="E25" s="33" cm="1">
        <f t="array" ref="E25">IF($A25&lt;=DATE4,SUM(IF((INDEX(INDICES,,1)=$A25)*(INDEX(INDICES,5,)=E$14),INDEX(INDICES,,),0)),NA())</f>
        <v>123.7</v>
      </c>
      <c r="F25" s="33" cm="1">
        <f t="array" ref="F25">IF($A25&lt;=DATE4,SUM(IF((INDEX(INDICES,,1)=$A25)*(INDEX(INDICES,5,)=F$14),INDEX(INDICES,,),0)),NA())</f>
        <v>198.7</v>
      </c>
      <c r="G25" s="33" cm="1">
        <f t="array" ref="G25">IF($A25&lt;=DATE4,SUM(IF((INDEX(INDICES,,1)=$A25)*(INDEX(INDICES,5,)=G$14),INDEX(INDICES,,),0)),NA())</f>
        <v>113.3</v>
      </c>
      <c r="H25" s="33" cm="1">
        <f t="array" ref="H25">IF($A25&lt;=DATE4,SUM(IF((INDEX(INDICES,,1)=$A25)*(INDEX(INDICES,5,)=H$14),INDEX(INDICES,,),0)),NA())</f>
        <v>246.9</v>
      </c>
      <c r="K25" t="str">
        <v>Tubes, tuyaux en matière plastique</v>
      </c>
      <c r="L25" s="105">
        <v>0.04</v>
      </c>
      <c r="M25" t="str">
        <v>Gazole</v>
      </c>
      <c r="N25">
        <v>0</v>
      </c>
      <c r="P25" t="s">
        <v>65</v>
      </c>
      <c r="Q25" t="str">
        <v>Tubes, tuyaux en matière plastique</v>
      </c>
      <c r="R25" s="21">
        <v>1.2391573729863659E-2</v>
      </c>
      <c r="S25" s="21">
        <v>7.8066914498141182E-2</v>
      </c>
    </row>
    <row r="26" spans="1:19" x14ac:dyDescent="0.25">
      <c r="A26" s="1">
        <f t="shared" si="0"/>
        <v>44774</v>
      </c>
      <c r="B26" s="194" cm="1">
        <f t="array" ref="B26">IF(A26&lt;=DATE3,SUM(IF((INDEX(INDEX,,1)=A26)*(INDEX(INDEX,3,)="TP01"),INDEX(INDEX,,),0)),"")</f>
        <v>128.9</v>
      </c>
      <c r="C26" s="94" cm="1">
        <f t="array" ref="C26">IF(A26&lt;=DATE3,SUM(IF((INDEX(INDEX,,1)=A26)*(INDEX(INDEX,3,)=C14),INDEX(INDEX,,),0)),"")</f>
        <v>132.1</v>
      </c>
      <c r="D26" s="33" cm="1">
        <f t="array" ref="D26">IF($A26&lt;=DATE4,SUM(IF((INDEX(INDICES,,1)=$A26)*(INDEX(INDICES,5,)=D$14),INDEX(INDICES,,),0)),NA())</f>
        <v>116.6</v>
      </c>
      <c r="E26" s="33" cm="1">
        <f t="array" ref="E26">IF($A26&lt;=DATE4,SUM(IF((INDEX(INDICES,,1)=$A26)*(INDEX(INDICES,5,)=E$14),INDEX(INDICES,,),0)),NA())</f>
        <v>123.7</v>
      </c>
      <c r="F26" s="33" cm="1">
        <f t="array" ref="F26">IF($A26&lt;=DATE4,SUM(IF((INDEX(INDICES,,1)=$A26)*(INDEX(INDICES,5,)=F$14),INDEX(INDICES,,),0)),NA())</f>
        <v>189.1</v>
      </c>
      <c r="G26" s="33" cm="1">
        <f t="array" ref="G26">IF($A26&lt;=DATE4,SUM(IF((INDEX(INDICES,,1)=$A26)*(INDEX(INDICES,5,)=G$14),INDEX(INDICES,,),0)),NA())</f>
        <v>116.6</v>
      </c>
      <c r="H26" s="33" cm="1">
        <f t="array" ref="H26">IF($A26&lt;=DATE4,SUM(IF((INDEX(INDICES,,1)=$A26)*(INDEX(INDICES,5,)=H$14),INDEX(INDICES,,),0)),NA())</f>
        <v>241.2</v>
      </c>
      <c r="K26" t="str">
        <v>Ensemble des produits du sciage</v>
      </c>
      <c r="L26" s="105">
        <v>0.02</v>
      </c>
      <c r="M26" t="str">
        <v>Travail activités spécialisées</v>
      </c>
      <c r="N26">
        <v>0</v>
      </c>
      <c r="P26" t="s">
        <v>66</v>
      </c>
      <c r="Q26" t="str">
        <v>Ensemble des produits du sciage</v>
      </c>
      <c r="R26" s="21">
        <v>8.3090984628153564E-4</v>
      </c>
      <c r="S26" s="21">
        <v>7.6802683063163846E-2</v>
      </c>
    </row>
    <row r="27" spans="1:19" x14ac:dyDescent="0.25">
      <c r="A27" s="1">
        <f t="shared" si="0"/>
        <v>44805</v>
      </c>
      <c r="B27" s="194" cm="1">
        <f t="array" ref="B27">IF(A27&lt;=DATE3,SUM(IF((INDEX(INDEX,,1)=A27)*(INDEX(INDEX,3,)="TP01"),INDEX(INDEX,,),0)),"")</f>
        <v>128.4</v>
      </c>
      <c r="C27" s="94" cm="1">
        <f t="array" ref="C27">IF(A27&lt;=DATE3,SUM(IF((INDEX(INDEX,,1)=A27)*(INDEX(INDEX,3,)=C14),INDEX(INDEX,,),0)),"")</f>
        <v>130.9</v>
      </c>
      <c r="D27" s="33" cm="1">
        <f t="array" ref="D27">IF($A27&lt;=DATE4,SUM(IF((INDEX(INDICES,,1)=$A27)*(INDEX(INDICES,5,)=D$14),INDEX(INDICES,,),0)),NA())</f>
        <v>117.1</v>
      </c>
      <c r="E27" s="33" cm="1">
        <f t="array" ref="E27">IF($A27&lt;=DATE4,SUM(IF((INDEX(INDICES,,1)=$A27)*(INDEX(INDICES,5,)=E$14),INDEX(INDICES,,),0)),NA())</f>
        <v>123.7</v>
      </c>
      <c r="F27" s="33" cm="1">
        <f t="array" ref="F27">IF($A27&lt;=DATE4,SUM(IF((INDEX(INDICES,,1)=$A27)*(INDEX(INDICES,5,)=F$14),INDEX(INDICES,,),0)),NA())</f>
        <v>175</v>
      </c>
      <c r="G27" s="33" cm="1">
        <f t="array" ref="G27">IF($A27&lt;=DATE4,SUM(IF((INDEX(INDICES,,1)=$A27)*(INDEX(INDICES,5,)=G$14),INDEX(INDICES,,),0)),NA())</f>
        <v>114.6</v>
      </c>
      <c r="H27" s="33" cm="1">
        <f t="array" ref="H27">IF($A27&lt;=DATE4,SUM(IF((INDEX(INDICES,,1)=$A27)*(INDEX(INDICES,5,)=H$14),INDEX(INDICES,,),0)),NA())</f>
        <v>229.2</v>
      </c>
      <c r="K27" t="str">
        <v>Béton prêt à l'emploi</v>
      </c>
      <c r="L27" s="105">
        <v>0.12</v>
      </c>
      <c r="M27" t="str">
        <v>Gaz naturel</v>
      </c>
      <c r="N27">
        <v>0</v>
      </c>
      <c r="P27" t="s">
        <v>67</v>
      </c>
      <c r="Q27" t="str">
        <v>Béton prêt à l'emploi</v>
      </c>
      <c r="R27" s="21">
        <v>2.5602857993450412E-2</v>
      </c>
      <c r="S27" s="21">
        <v>4.8382126348228027E-2</v>
      </c>
    </row>
    <row r="28" spans="1:19" x14ac:dyDescent="0.25">
      <c r="A28" s="1"/>
      <c r="B28" s="194"/>
      <c r="D28" s="33"/>
      <c r="E28" s="33"/>
      <c r="F28" s="33"/>
      <c r="G28" s="33"/>
      <c r="H28" s="33"/>
      <c r="K28" t="str">
        <v>Barres crénelées ou nervurées pour béton armé</v>
      </c>
      <c r="L28" s="105">
        <v>0.09</v>
      </c>
      <c r="M28" t="str">
        <v>Gazole routier HTT</v>
      </c>
      <c r="N28">
        <v>0</v>
      </c>
      <c r="P28" t="s">
        <v>68</v>
      </c>
      <c r="Q28" t="str">
        <v>Barres crénelées ou nervurées pour béton armé</v>
      </c>
      <c r="R28" s="21">
        <v>-7.5882504509147242E-2</v>
      </c>
      <c r="S28" s="21">
        <v>0.26236159242667578</v>
      </c>
    </row>
    <row r="29" spans="1:19" x14ac:dyDescent="0.25">
      <c r="A29" s="1"/>
      <c r="D29" s="33"/>
      <c r="E29" s="33"/>
      <c r="F29" s="33"/>
      <c r="G29" s="33"/>
      <c r="H29" s="33"/>
      <c r="K29" t="str">
        <v>Sables et granulats</v>
      </c>
      <c r="L29" s="105">
        <v>0</v>
      </c>
      <c r="M29" t="str">
        <v>Sables et granulats</v>
      </c>
      <c r="N29">
        <v>0</v>
      </c>
      <c r="P29" t="s">
        <v>69</v>
      </c>
      <c r="Q29" t="str">
        <v>Sables et granulats</v>
      </c>
      <c r="R29" s="21">
        <v>2.2433927473878512E-2</v>
      </c>
      <c r="S29" s="21">
        <v>4.8430779034570381E-2</v>
      </c>
    </row>
    <row r="30" spans="1:19" x14ac:dyDescent="0.25">
      <c r="A30" s="1"/>
      <c r="D30" s="33"/>
      <c r="E30" s="33"/>
      <c r="F30" s="33"/>
      <c r="G30" s="33"/>
      <c r="H30" s="33"/>
      <c r="K30" t="str">
        <v>Plaques, feuilles, tubes et profilés en matières plastiques</v>
      </c>
      <c r="L30" s="105">
        <v>0</v>
      </c>
      <c r="M30" t="str">
        <v>Plaques, feuilles, tubes et profilés en matières plastiques</v>
      </c>
      <c r="N30">
        <v>0</v>
      </c>
      <c r="P30" t="s">
        <v>70</v>
      </c>
      <c r="Q30" t="str">
        <v>Plaques, feuilles, tubes et profilés en matières plastiques</v>
      </c>
      <c r="R30" s="21">
        <v>9.2098885118760965E-3</v>
      </c>
      <c r="S30" s="21">
        <v>0.10533333333333328</v>
      </c>
    </row>
    <row r="31" spans="1:19" x14ac:dyDescent="0.25">
      <c r="A31" s="1"/>
      <c r="D31" s="33"/>
      <c r="E31" s="33"/>
      <c r="F31" s="33"/>
      <c r="G31" s="33"/>
      <c r="H31" s="33"/>
      <c r="K31" t="str">
        <v>Ciment, chaux et plâtre</v>
      </c>
      <c r="L31" s="105">
        <v>0</v>
      </c>
      <c r="M31" t="str">
        <v>Ciment, chaux et plâtre</v>
      </c>
      <c r="N31">
        <v>0</v>
      </c>
      <c r="P31" t="s">
        <v>71</v>
      </c>
      <c r="Q31" t="str">
        <v>Ciment, chaux et plâtre</v>
      </c>
      <c r="R31" s="21">
        <v>4.8378661087866037E-2</v>
      </c>
      <c r="S31" s="21">
        <v>0.13670004353504583</v>
      </c>
    </row>
    <row r="32" spans="1:19" x14ac:dyDescent="0.25">
      <c r="A32" s="1"/>
      <c r="D32" s="33"/>
      <c r="E32" s="33"/>
      <c r="F32" s="33"/>
      <c r="G32" s="33"/>
      <c r="H32" s="33"/>
      <c r="K32" t="str">
        <v>Autres produits chimiques</v>
      </c>
      <c r="L32" s="105">
        <v>0</v>
      </c>
      <c r="M32" t="str">
        <v>Autres produits chimiques</v>
      </c>
      <c r="N32">
        <v>0</v>
      </c>
      <c r="P32" t="s">
        <v>72</v>
      </c>
      <c r="Q32" t="str">
        <v>Autres produits explosifs</v>
      </c>
      <c r="R32" s="21">
        <v>-7.5698757763976721E-3</v>
      </c>
      <c r="S32" s="21">
        <v>0.16054267947993206</v>
      </c>
    </row>
    <row r="33" spans="1:19" x14ac:dyDescent="0.25">
      <c r="A33" s="1"/>
      <c r="D33" s="33"/>
      <c r="E33" s="33"/>
      <c r="F33" s="33"/>
      <c r="G33" s="33"/>
      <c r="H33" s="33"/>
      <c r="K33" t="str">
        <v>Acier pour la construction</v>
      </c>
      <c r="L33" s="105">
        <v>0</v>
      </c>
      <c r="M33" t="str">
        <v>Acier pour la construction</v>
      </c>
      <c r="N33">
        <v>0</v>
      </c>
      <c r="P33" t="s">
        <v>73</v>
      </c>
      <c r="Q33" t="str">
        <v>Acier pour la construction</v>
      </c>
      <c r="R33" s="21">
        <v>-2.1750524109014679E-2</v>
      </c>
      <c r="S33" s="21">
        <v>0.28438962143768598</v>
      </c>
    </row>
    <row r="34" spans="1:19" x14ac:dyDescent="0.25">
      <c r="A34" s="1"/>
      <c r="D34" s="33"/>
      <c r="E34" s="33"/>
      <c r="F34" s="33"/>
      <c r="G34" s="33"/>
      <c r="H34" s="33"/>
      <c r="K34" t="str">
        <v>Bitume</v>
      </c>
      <c r="L34" s="105">
        <v>0</v>
      </c>
      <c r="M34" t="str">
        <v>Bitume</v>
      </c>
      <c r="N34">
        <v>0</v>
      </c>
      <c r="P34" t="s">
        <v>74</v>
      </c>
      <c r="Q34" t="str">
        <v>Bitume</v>
      </c>
      <c r="R34" s="21">
        <v>-0.12173117154811708</v>
      </c>
      <c r="S34" s="21">
        <v>0.24652898299201653</v>
      </c>
    </row>
    <row r="35" spans="1:19" x14ac:dyDescent="0.25">
      <c r="A35" s="1"/>
      <c r="D35" s="33"/>
      <c r="E35" s="33"/>
      <c r="F35" s="33"/>
      <c r="G35" s="33"/>
      <c r="H35" s="33"/>
      <c r="K35" t="str">
        <v>Produits de voierie en béton</v>
      </c>
      <c r="L35" s="105">
        <v>0</v>
      </c>
      <c r="M35" t="str">
        <v>Produits de voierie en béton</v>
      </c>
      <c r="N35">
        <v>0</v>
      </c>
      <c r="P35" t="s">
        <v>75</v>
      </c>
      <c r="Q35" t="str">
        <v>Produits de voierie en béton</v>
      </c>
      <c r="R35" s="21">
        <v>2.0532741398446186E-2</v>
      </c>
      <c r="S35" s="21">
        <v>5.9508220573257775E-2</v>
      </c>
    </row>
    <row r="36" spans="1:19" x14ac:dyDescent="0.25">
      <c r="A36" s="1"/>
      <c r="D36" s="33"/>
      <c r="E36" s="33"/>
      <c r="F36" s="33"/>
      <c r="G36" s="33"/>
      <c r="H36" s="33"/>
      <c r="K36" t="str">
        <v>Mortiers et bétons secs</v>
      </c>
      <c r="L36" s="105">
        <v>0</v>
      </c>
      <c r="M36" t="str">
        <v>Mortiers et bétons secs</v>
      </c>
      <c r="N36">
        <v>0</v>
      </c>
      <c r="P36" t="s">
        <v>76</v>
      </c>
      <c r="Q36" t="str">
        <v>Mortiers et bétons secs</v>
      </c>
      <c r="R36" s="21">
        <v>2.2351500306184935E-2</v>
      </c>
      <c r="S36" s="21">
        <v>6.206785656858016E-2</v>
      </c>
    </row>
    <row r="37" spans="1:19" x14ac:dyDescent="0.25">
      <c r="A37" s="1"/>
      <c r="D37" s="33"/>
      <c r="E37" s="33"/>
      <c r="F37" s="33"/>
      <c r="G37" s="33"/>
      <c r="H37" s="33"/>
      <c r="K37" t="str">
        <v>Travaux de fonderie de fonte</v>
      </c>
      <c r="L37" s="105">
        <v>0</v>
      </c>
      <c r="M37" t="str">
        <v>Travaux de fonderie de fonte</v>
      </c>
      <c r="N37">
        <v>0</v>
      </c>
      <c r="P37" t="s">
        <v>77</v>
      </c>
      <c r="Q37" t="str">
        <v>Travaux de fonderie de fonte</v>
      </c>
      <c r="R37" s="21">
        <v>5.1040221914008255E-2</v>
      </c>
      <c r="S37" s="21">
        <v>0.1410493827160495</v>
      </c>
    </row>
    <row r="38" spans="1:19" x14ac:dyDescent="0.25">
      <c r="A38" s="1"/>
      <c r="D38" s="33"/>
      <c r="E38" s="33"/>
      <c r="F38" s="33"/>
      <c r="G38" s="33"/>
      <c r="H38" s="33"/>
      <c r="K38" t="str">
        <v>Tuiles, briques et produits de construction en terre cuite</v>
      </c>
      <c r="L38" s="105">
        <v>0</v>
      </c>
      <c r="M38" t="str">
        <v>Tuiles, briques et produits de construction en terre cuite</v>
      </c>
      <c r="N38">
        <v>0</v>
      </c>
      <c r="P38" t="s">
        <v>78</v>
      </c>
      <c r="Q38" t="str">
        <v>Tuiles, briques et produits de construction en terre cuite</v>
      </c>
      <c r="R38" s="21">
        <v>5.1855751513556259E-2</v>
      </c>
      <c r="S38" s="21">
        <v>0.1773146050445551</v>
      </c>
    </row>
    <row r="39" spans="1:19" x14ac:dyDescent="0.25">
      <c r="A39" s="1"/>
      <c r="D39" s="33"/>
      <c r="E39" s="33"/>
      <c r="F39" s="33"/>
      <c r="G39" s="33"/>
      <c r="H39" s="33"/>
      <c r="K39" t="str">
        <v>Réseaux d’assainissement</v>
      </c>
      <c r="L39" s="105">
        <v>0</v>
      </c>
      <c r="M39" t="str">
        <v>Réseaux d’assainissement</v>
      </c>
      <c r="N39">
        <v>0</v>
      </c>
      <c r="P39" t="s">
        <v>79</v>
      </c>
      <c r="Q39" t="str">
        <v>Réseaux d’assainissement</v>
      </c>
      <c r="R39" s="21">
        <v>6.3993174061433455E-2</v>
      </c>
      <c r="S39" s="21">
        <v>6.5878590464909736E-2</v>
      </c>
    </row>
    <row r="40" spans="1:19" x14ac:dyDescent="0.25">
      <c r="A40" s="1"/>
      <c r="D40" s="33"/>
      <c r="E40" s="33"/>
      <c r="F40" s="33"/>
      <c r="G40" s="33"/>
      <c r="H40" s="33"/>
      <c r="K40" t="str">
        <v>Autres textiles</v>
      </c>
      <c r="L40" s="105">
        <v>0</v>
      </c>
      <c r="M40" t="str">
        <v>Autres textiles</v>
      </c>
      <c r="N40">
        <v>0</v>
      </c>
      <c r="P40" t="s">
        <v>80</v>
      </c>
      <c r="Q40" t="str">
        <v>Autres textiles</v>
      </c>
      <c r="R40" s="21">
        <v>7.1002556092019109E-3</v>
      </c>
      <c r="S40" s="21">
        <v>4.1408782788092902E-2</v>
      </c>
    </row>
    <row r="41" spans="1:19" x14ac:dyDescent="0.25">
      <c r="A41" s="1"/>
      <c r="D41" s="33"/>
      <c r="E41" s="33"/>
      <c r="F41" s="33"/>
      <c r="G41" s="33"/>
      <c r="H41" s="33"/>
      <c r="K41" t="str">
        <v>Matières plastiques sous formes primaires</v>
      </c>
      <c r="L41" s="105">
        <v>0</v>
      </c>
      <c r="M41" t="str">
        <v>Matières plastiques sous formes primaires</v>
      </c>
      <c r="N41">
        <v>0</v>
      </c>
      <c r="P41" t="s">
        <v>81</v>
      </c>
      <c r="Q41" t="str">
        <v>Matières plastiques sous formes primaires</v>
      </c>
      <c r="R41" s="21">
        <v>-4.3709616115545469E-2</v>
      </c>
      <c r="S41" s="21">
        <v>0.13808734107241571</v>
      </c>
    </row>
    <row r="42" spans="1:19" x14ac:dyDescent="0.25">
      <c r="A42" s="1"/>
      <c r="D42" s="33"/>
      <c r="E42" s="33"/>
      <c r="F42" s="33"/>
      <c r="G42" s="33"/>
      <c r="H42" s="33"/>
      <c r="K42" t="str">
        <v>Tubes, tuyaux, profilés creux et accessoires correspondants en acier</v>
      </c>
      <c r="L42" s="105">
        <v>0</v>
      </c>
      <c r="M42" t="str">
        <v>Tubes, tuyaux, profilés creux et accessoires correspondants en acier</v>
      </c>
      <c r="N42">
        <v>0</v>
      </c>
      <c r="P42" t="s">
        <v>82</v>
      </c>
      <c r="Q42" t="str">
        <v>Tubes, tuyaux, profilés creux et accessoires correspondants en acier</v>
      </c>
      <c r="R42" s="21">
        <v>8.8774072334429244E-2</v>
      </c>
      <c r="S42" s="21">
        <v>0.16811137378513252</v>
      </c>
    </row>
    <row r="43" spans="1:19" x14ac:dyDescent="0.25">
      <c r="A43" s="1"/>
      <c r="D43" s="33"/>
      <c r="E43" s="33"/>
      <c r="F43" s="33"/>
      <c r="G43" s="33"/>
      <c r="H43" s="33"/>
      <c r="K43" t="str">
        <v>Éléments en béton pour la construction</v>
      </c>
      <c r="L43" s="105">
        <v>0</v>
      </c>
      <c r="M43" t="str">
        <v>Éléments en béton pour la construction</v>
      </c>
      <c r="N43">
        <v>0</v>
      </c>
      <c r="P43" t="s">
        <v>83</v>
      </c>
      <c r="Q43" t="str">
        <v>Éléments en béton pour la construction</v>
      </c>
      <c r="R43" s="21">
        <v>5.9336823734729593E-2</v>
      </c>
      <c r="S43" s="21">
        <v>8.1741787624140416E-2</v>
      </c>
    </row>
    <row r="44" spans="1:19" x14ac:dyDescent="0.25">
      <c r="A44" s="1"/>
      <c r="D44" s="33"/>
      <c r="E44" s="33"/>
      <c r="F44" s="33"/>
      <c r="G44" s="33"/>
      <c r="H44" s="33"/>
      <c r="K44" t="str">
        <v>Fils et câbles d'énergie</v>
      </c>
      <c r="L44" s="105">
        <v>0</v>
      </c>
      <c r="M44" t="str">
        <v>Fils et câbles d'énergie</v>
      </c>
      <c r="N44">
        <v>0</v>
      </c>
      <c r="P44" t="s">
        <v>84</v>
      </c>
      <c r="Q44" t="str">
        <v>Fils et câbles d'énergie</v>
      </c>
      <c r="R44" s="21">
        <v>1.2977819726285977E-2</v>
      </c>
      <c r="S44" s="21">
        <v>9.5825305073860001E-2</v>
      </c>
    </row>
    <row r="45" spans="1:19" x14ac:dyDescent="0.25">
      <c r="A45" s="1"/>
      <c r="D45" s="33"/>
      <c r="E45" s="33"/>
      <c r="F45" s="33"/>
      <c r="G45" s="33"/>
      <c r="H45" s="33"/>
      <c r="K45" t="str">
        <v>Moteurs, génératrices, transfo. électr., matér. distrib., cmde électr.</v>
      </c>
      <c r="L45" s="105">
        <v>0</v>
      </c>
      <c r="M45" t="str">
        <v>Moteurs, génératrices, transfo. électr., matér. distrib., cmde électr.</v>
      </c>
      <c r="N45">
        <v>0</v>
      </c>
      <c r="P45" t="s">
        <v>85</v>
      </c>
      <c r="Q45" t="str">
        <v>Moteurs, génératrices, transfo. électr., matér. distrib., cmde électr.</v>
      </c>
      <c r="R45" s="21">
        <v>2.1517883105554025E-2</v>
      </c>
      <c r="S45" s="21">
        <v>5.8787694182150574E-2</v>
      </c>
    </row>
    <row r="46" spans="1:19" x14ac:dyDescent="0.25">
      <c r="A46" s="1"/>
      <c r="D46" s="33"/>
      <c r="E46" s="33"/>
      <c r="F46" s="33"/>
      <c r="G46" s="33"/>
      <c r="H46" s="33"/>
      <c r="K46" t="str">
        <v>Matériel de distribution et de commande électrique</v>
      </c>
      <c r="L46" s="105">
        <v>0</v>
      </c>
      <c r="M46" t="str">
        <v>Matériel de distribution et de commande électrique</v>
      </c>
      <c r="N46">
        <v>0</v>
      </c>
      <c r="P46" t="s">
        <v>86</v>
      </c>
      <c r="Q46" t="str">
        <v>Matériel de distribution et de commande électrique</v>
      </c>
      <c r="R46" s="21">
        <v>1.9976838448176215E-2</v>
      </c>
      <c r="S46" s="21">
        <v>5.6480920654149003E-2</v>
      </c>
    </row>
    <row r="47" spans="1:19" x14ac:dyDescent="0.25">
      <c r="A47" s="1"/>
      <c r="D47" s="33"/>
      <c r="E47" s="33"/>
      <c r="F47" s="33"/>
      <c r="G47" s="33"/>
      <c r="H47" s="33"/>
      <c r="K47" t="str">
        <v>Appareils d'éclairage électrique</v>
      </c>
      <c r="L47" s="105">
        <v>0</v>
      </c>
      <c r="M47" t="str">
        <v>Appareils d'éclairage électrique</v>
      </c>
      <c r="N47">
        <v>0</v>
      </c>
      <c r="P47" t="s">
        <v>87</v>
      </c>
      <c r="Q47" t="str">
        <v>Appareils d'éclairage électrique</v>
      </c>
      <c r="R47" s="21">
        <v>1.556806889698592E-2</v>
      </c>
      <c r="S47" s="21">
        <v>3.6273841961852682E-2</v>
      </c>
    </row>
    <row r="48" spans="1:19" x14ac:dyDescent="0.25">
      <c r="A48" s="1"/>
      <c r="D48" s="33"/>
      <c r="E48" s="54"/>
      <c r="F48" s="33"/>
      <c r="G48" s="33"/>
      <c r="H48" s="33"/>
      <c r="K48" t="str">
        <v>Câbles de fibres optiques</v>
      </c>
      <c r="L48" s="105">
        <v>0</v>
      </c>
      <c r="M48" t="str">
        <v>Câbles de fibres optiques</v>
      </c>
      <c r="N48">
        <v>0</v>
      </c>
      <c r="P48" t="s">
        <v>88</v>
      </c>
      <c r="Q48" t="str">
        <v>Câbles de fibres optiques</v>
      </c>
      <c r="R48" s="21">
        <v>9.6494049533613069E-3</v>
      </c>
      <c r="S48" s="21">
        <v>1.3956507627393533E-2</v>
      </c>
    </row>
    <row r="49" spans="1:19" x14ac:dyDescent="0.25">
      <c r="A49" s="1"/>
      <c r="D49" s="33"/>
      <c r="E49" s="54"/>
      <c r="F49" s="33"/>
      <c r="G49" s="33"/>
      <c r="H49" s="33"/>
      <c r="K49" t="str">
        <v>Peintures Industries</v>
      </c>
      <c r="L49" s="105">
        <v>0</v>
      </c>
      <c r="M49" t="str">
        <v>Peintures Industries</v>
      </c>
      <c r="N49">
        <v>0</v>
      </c>
      <c r="P49" t="s">
        <v>89</v>
      </c>
      <c r="Q49" t="str">
        <v>Peintures Industries</v>
      </c>
      <c r="R49" s="21">
        <v>0.11947461480171762</v>
      </c>
      <c r="S49" s="21">
        <v>0.10977383943922736</v>
      </c>
    </row>
    <row r="50" spans="1:19" x14ac:dyDescent="0.25">
      <c r="A50" s="1"/>
      <c r="C50" s="33"/>
      <c r="D50" s="33"/>
      <c r="E50" s="103"/>
      <c r="F50" s="33"/>
      <c r="G50" s="33"/>
      <c r="H50" s="33"/>
      <c r="K50" t="str">
        <v>Produits sidérurgiques en acier non allié</v>
      </c>
      <c r="L50" s="105">
        <v>0</v>
      </c>
      <c r="M50" t="str">
        <v>Produits sidérurgiques en acier non allié</v>
      </c>
      <c r="N50">
        <v>0</v>
      </c>
      <c r="P50" t="s">
        <v>90</v>
      </c>
      <c r="Q50" t="str">
        <v>Produits sidérurgiques en acier non allié</v>
      </c>
      <c r="R50" s="21">
        <v>-5.0373134328358105E-2</v>
      </c>
      <c r="S50" s="21">
        <v>0.17319861196162489</v>
      </c>
    </row>
    <row r="51" spans="1:19" x14ac:dyDescent="0.25">
      <c r="A51" s="1"/>
      <c r="C51" s="33"/>
      <c r="D51" s="33"/>
      <c r="E51" s="103"/>
      <c r="F51" s="33"/>
      <c r="G51" s="33"/>
      <c r="H51" s="33"/>
      <c r="K51" t="str">
        <v>Tôles quarto et autres produits plats en aciers non alliés de qualité</v>
      </c>
      <c r="L51" s="105">
        <v>0</v>
      </c>
      <c r="M51" t="str">
        <v>Tôles quarto et autres produits plats en aciers non alliés de qualité</v>
      </c>
      <c r="N51">
        <v>0</v>
      </c>
      <c r="P51" t="s">
        <v>91</v>
      </c>
      <c r="Q51" t="str">
        <v>Tôles quarto et autres produits plats en aciers non alliés de qualité</v>
      </c>
      <c r="R51" s="21">
        <v>-9.0187590187607025E-4</v>
      </c>
      <c r="S51" s="21">
        <v>2.506474287828353E-2</v>
      </c>
    </row>
    <row r="52" spans="1:19" x14ac:dyDescent="0.25">
      <c r="A52" s="1"/>
      <c r="C52" s="33"/>
      <c r="D52" s="33"/>
      <c r="E52" s="103"/>
      <c r="F52" s="33"/>
      <c r="K52" t="str">
        <v>Éléments en métal pour la construction</v>
      </c>
      <c r="L52" s="105">
        <v>0</v>
      </c>
      <c r="M52" t="str">
        <v>Éléments en métal pour la construction</v>
      </c>
      <c r="N52">
        <v>0</v>
      </c>
      <c r="P52" t="s">
        <v>92</v>
      </c>
      <c r="Q52" t="str">
        <v>Éléments en métal pour la construction</v>
      </c>
      <c r="R52" s="21">
        <v>1.251877816725111E-2</v>
      </c>
      <c r="S52" s="21">
        <v>6.9167331737164162E-2</v>
      </c>
    </row>
    <row r="53" spans="1:19" x14ac:dyDescent="0.25">
      <c r="C53" s="33"/>
      <c r="D53" s="33"/>
      <c r="E53" s="103"/>
      <c r="F53" s="33"/>
      <c r="K53" t="str">
        <v>Restaurants et hôtels</v>
      </c>
      <c r="L53" s="105">
        <v>0</v>
      </c>
      <c r="M53" t="str">
        <v>Restaurants et hôtels</v>
      </c>
      <c r="N53">
        <v>0</v>
      </c>
      <c r="P53" t="s">
        <v>93</v>
      </c>
      <c r="Q53" t="str">
        <v>Restaurants et hôtels</v>
      </c>
      <c r="R53" s="21">
        <v>4.8885863936318108E-2</v>
      </c>
      <c r="S53" s="21">
        <v>4.9919631213416915E-2</v>
      </c>
    </row>
    <row r="54" spans="1:19" x14ac:dyDescent="0.25">
      <c r="C54" s="33"/>
      <c r="D54" s="33"/>
      <c r="E54" s="33"/>
      <c r="F54" s="33"/>
      <c r="K54" t="str">
        <v>Traitement et élimination des déchets non dangereux</v>
      </c>
      <c r="L54" s="105">
        <v>0</v>
      </c>
      <c r="M54" t="str">
        <v>Traitement et élimination des déchets non dangereux</v>
      </c>
      <c r="N54">
        <v>0</v>
      </c>
      <c r="P54" t="s">
        <v>94</v>
      </c>
      <c r="Q54" t="str">
        <v>Traitement et élimination des déchets non dangereux</v>
      </c>
      <c r="R54" s="21">
        <v>5.5205047318611644E-3</v>
      </c>
      <c r="S54" s="21">
        <v>4.0223616034906096E-2</v>
      </c>
    </row>
    <row r="55" spans="1:19" x14ac:dyDescent="0.25">
      <c r="C55" s="33"/>
      <c r="D55" s="33"/>
      <c r="E55" s="33"/>
      <c r="F55" s="33"/>
      <c r="K55" t="str">
        <v>Collecte, traitement et élimination des déchets ; récupération de matériaux</v>
      </c>
      <c r="L55" s="105">
        <v>0</v>
      </c>
      <c r="M55" t="str">
        <v>Collecte, traitement et élimination des déchets ; récupération de matériaux</v>
      </c>
      <c r="N55">
        <v>0</v>
      </c>
      <c r="P55" t="s">
        <v>95</v>
      </c>
      <c r="Q55" t="str">
        <v>Collecte, traitement et élimination des déchets ; récupération de matériaux</v>
      </c>
      <c r="R55" s="21">
        <v>-7.7086781745093313E-2</v>
      </c>
      <c r="S55" s="21">
        <v>7.4666314259283828E-2</v>
      </c>
    </row>
  </sheetData>
  <sheetProtection algorithmName="SHA-512" hashValue="dJq2V8QoYJ060R1nSNpcmZaQBQV9U8WTvVOfm1NbcOORMEWhb575B53iKNmBzIdaSCV30qQdos9M/3IF4AwAnw==" saltValue="3AHuU2ry3QAaUyaRSmbWlQ=="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GAZOLE ROUTIER HTT</vt:lpstr>
      <vt:lpstr>FIOUL LOURD</vt:lpstr>
      <vt:lpstr>INDICES PRIX</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Cloé SARRABIA</cp:lastModifiedBy>
  <cp:lastPrinted>2022-09-28T14:07:22Z</cp:lastPrinted>
  <dcterms:created xsi:type="dcterms:W3CDTF">2022-04-07T14:57:19Z</dcterms:created>
  <dcterms:modified xsi:type="dcterms:W3CDTF">2022-11-16T08:32:57Z</dcterms:modified>
</cp:coreProperties>
</file>