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E9184BC1-957D-47FC-AE6E-F6E8427E8023}" xr6:coauthVersionLast="47" xr6:coauthVersionMax="47" xr10:uidLastSave="{00000000-0000-0000-0000-000000000000}"/>
  <bookViews>
    <workbookView xWindow="-28920" yWindow="-120" windowWidth="29040" windowHeight="1572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state="hidden"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 i="15" l="1"/>
  <c r="A140" i="1" l="1"/>
  <c r="A106" i="6"/>
  <c r="A139" i="1"/>
  <c r="A101" i="8"/>
  <c r="A102" i="8" s="1"/>
  <c r="C101" i="8"/>
  <c r="C102" i="8"/>
  <c r="A105" i="6"/>
  <c r="A104" i="6"/>
  <c r="A138" i="1"/>
  <c r="C100" i="8"/>
  <c r="A100" i="8"/>
  <c r="A137" i="1"/>
  <c r="A136" i="1" l="1"/>
  <c r="C98" i="8"/>
  <c r="C99" i="8"/>
  <c r="A98" i="8"/>
  <c r="A99" i="8"/>
  <c r="A135" i="1"/>
  <c r="A97" i="8"/>
  <c r="A134" i="1"/>
  <c r="A96" i="8"/>
  <c r="C96" i="8"/>
  <c r="C97" i="8" s="1"/>
  <c r="A95" i="8"/>
  <c r="A133" i="1"/>
  <c r="C95" i="8"/>
  <c r="A132" i="1" l="1"/>
  <c r="C94" i="8"/>
  <c r="A131" i="1"/>
  <c r="A130" i="1" l="1"/>
  <c r="A129" i="1"/>
  <c r="A128" i="1"/>
  <c r="A127" i="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K63" i="6" l="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A94" i="21"/>
  <c r="C93" i="21" a="1"/>
  <c r="C93" i="21" s="1"/>
  <c r="B93" i="21" a="1"/>
  <c r="B93" i="21" s="1"/>
  <c r="A30" i="6" l="1"/>
  <c r="C47" i="7"/>
  <c r="A45" i="1"/>
  <c r="A95" i="21"/>
  <c r="C94" i="21" a="1"/>
  <c r="C94" i="21" s="1"/>
  <c r="B94" i="21" a="1"/>
  <c r="B94" i="21" s="1"/>
  <c r="A31" i="6" l="1"/>
  <c r="C48" i="7"/>
  <c r="A46" i="1"/>
  <c r="A96" i="21"/>
  <c r="C95" i="21" a="1"/>
  <c r="C95" i="21" s="1"/>
  <c r="B95" i="21" a="1"/>
  <c r="B95" i="21" s="1"/>
  <c r="A32" i="6" l="1"/>
  <c r="C49" i="7"/>
  <c r="A47" i="1"/>
  <c r="A97" i="21"/>
  <c r="C96" i="21" a="1"/>
  <c r="C96" i="21" s="1"/>
  <c r="B96" i="21" a="1"/>
  <c r="B96" i="21" s="1"/>
  <c r="A33" i="6" l="1"/>
  <c r="C50" i="7"/>
  <c r="A48" i="1"/>
  <c r="A98" i="21"/>
  <c r="C97" i="21" a="1"/>
  <c r="C97" i="21" s="1"/>
  <c r="B97" i="21" a="1"/>
  <c r="B97" i="21" s="1"/>
  <c r="A34" i="6" l="1"/>
  <c r="C51" i="7"/>
  <c r="A49" i="1"/>
  <c r="A99" i="21"/>
  <c r="C98" i="21" a="1"/>
  <c r="C98" i="21" s="1"/>
  <c r="B98" i="21" a="1"/>
  <c r="B98" i="21" s="1"/>
  <c r="A35" i="6" l="1"/>
  <c r="C52" i="7"/>
  <c r="A50" i="1"/>
  <c r="A100" i="21"/>
  <c r="C99" i="21" a="1"/>
  <c r="C99" i="21" s="1"/>
  <c r="B99" i="21" a="1"/>
  <c r="B99" i="21" s="1"/>
  <c r="A36" i="6" l="1"/>
  <c r="C53" i="7"/>
  <c r="A51" i="1"/>
  <c r="A101" i="21"/>
  <c r="C100" i="21" a="1"/>
  <c r="C100" i="21" s="1"/>
  <c r="B100" i="21" a="1"/>
  <c r="B100" i="21" s="1"/>
  <c r="A37" i="6" l="1"/>
  <c r="C54" i="7"/>
  <c r="A52" i="1"/>
  <c r="A102" i="21"/>
  <c r="C101" i="21" a="1"/>
  <c r="C101" i="21" s="1"/>
  <c r="B101" i="21" a="1"/>
  <c r="B101" i="21" s="1"/>
  <c r="A103" i="21" l="1"/>
  <c r="A38" i="6"/>
  <c r="C55" i="7"/>
  <c r="A53" i="1"/>
  <c r="C102" i="21" a="1"/>
  <c r="C102" i="21" s="1"/>
  <c r="B102" i="21" a="1"/>
  <c r="B102" i="21" s="1"/>
  <c r="B103" i="21" l="1" a="1"/>
  <c r="B103" i="21" s="1"/>
  <c r="A104" i="21"/>
  <c r="C103" i="21" a="1"/>
  <c r="C103" i="21" s="1"/>
  <c r="A39" i="6"/>
  <c r="C56" i="7"/>
  <c r="A54" i="1"/>
  <c r="B104" i="21" l="1" a="1"/>
  <c r="B104" i="21" s="1"/>
  <c r="A105" i="21"/>
  <c r="C104" i="21" a="1"/>
  <c r="C104" i="21" s="1"/>
  <c r="A40" i="6"/>
  <c r="C57" i="7"/>
  <c r="A55" i="1"/>
  <c r="C105" i="21" l="1" a="1"/>
  <c r="C105" i="21" s="1"/>
  <c r="B105" i="21" a="1"/>
  <c r="B105" i="21" s="1"/>
  <c r="A106" i="21"/>
  <c r="A41" i="6"/>
  <c r="C58" i="7"/>
  <c r="C59" i="7" s="1"/>
  <c r="C60" i="7" s="1"/>
  <c r="A56" i="1"/>
  <c r="B106" i="21" l="1" a="1"/>
  <c r="B106" i="21" s="1"/>
  <c r="C106" i="21" a="1"/>
  <c r="C106" i="21" s="1"/>
  <c r="A107" i="21"/>
  <c r="A42" i="6"/>
  <c r="A57" i="1"/>
  <c r="A108" i="21" l="1"/>
  <c r="C107" i="21" a="1"/>
  <c r="C107" i="21" s="1"/>
  <c r="B107" i="21" a="1"/>
  <c r="B107" i="21" s="1"/>
  <c r="A43" i="6"/>
  <c r="A58" i="1"/>
  <c r="B108" i="21" l="1" a="1"/>
  <c r="B108" i="21" s="1"/>
  <c r="A109" i="21"/>
  <c r="C108" i="21" a="1"/>
  <c r="C108" i="21" s="1"/>
  <c r="A44" i="6"/>
  <c r="A59" i="1"/>
  <c r="B109" i="21" l="1" a="1"/>
  <c r="B109" i="21" s="1"/>
  <c r="A110" i="21"/>
  <c r="C109" i="21" a="1"/>
  <c r="C109" i="21" s="1"/>
  <c r="A45" i="6"/>
  <c r="A60" i="1"/>
  <c r="A111" i="21" l="1"/>
  <c r="C110" i="21" a="1"/>
  <c r="C110" i="21" s="1"/>
  <c r="B110" i="21" a="1"/>
  <c r="B110" i="21" s="1"/>
  <c r="A46" i="6"/>
  <c r="A61" i="1"/>
  <c r="B111" i="21" l="1" a="1"/>
  <c r="B111" i="21" s="1"/>
  <c r="A112" i="21"/>
  <c r="H111" i="21" a="1"/>
  <c r="H111" i="21" s="1"/>
  <c r="F111" i="21" a="1"/>
  <c r="F111" i="21" s="1"/>
  <c r="G111" i="21" a="1"/>
  <c r="G111" i="21" s="1"/>
  <c r="D111" i="21" a="1"/>
  <c r="D111" i="21" s="1"/>
  <c r="E111" i="21" a="1"/>
  <c r="E111" i="21" s="1"/>
  <c r="C111" i="21" a="1"/>
  <c r="C111" i="21" s="1"/>
  <c r="A47" i="6"/>
  <c r="A62" i="1"/>
  <c r="B112" i="21" l="1" a="1"/>
  <c r="B112" i="21" s="1"/>
  <c r="A113" i="21"/>
  <c r="D112" i="21" a="1"/>
  <c r="D112" i="21" s="1"/>
  <c r="G112" i="21" a="1"/>
  <c r="G112" i="21" s="1"/>
  <c r="E112" i="21" a="1"/>
  <c r="E112" i="21" s="1"/>
  <c r="H112" i="21" a="1"/>
  <c r="H112" i="21" s="1"/>
  <c r="C112" i="21" a="1"/>
  <c r="C112" i="21" s="1"/>
  <c r="F112" i="21" a="1"/>
  <c r="F112" i="21" s="1"/>
  <c r="A48" i="6"/>
  <c r="A63" i="1"/>
  <c r="A114" i="21" l="1"/>
  <c r="C113" i="21" a="1"/>
  <c r="C113" i="21" s="1"/>
  <c r="F113" i="21" a="1"/>
  <c r="F113" i="21" s="1"/>
  <c r="G113" i="21" a="1"/>
  <c r="G113" i="21" s="1"/>
  <c r="H113" i="21" a="1"/>
  <c r="H113" i="21" s="1"/>
  <c r="D113" i="21" a="1"/>
  <c r="D113" i="21" s="1"/>
  <c r="B113" i="21" a="1"/>
  <c r="B113" i="21" s="1"/>
  <c r="E113" i="21" a="1"/>
  <c r="E113" i="21" s="1"/>
  <c r="A49" i="6"/>
  <c r="A64" i="1"/>
  <c r="B114" i="21" l="1" a="1"/>
  <c r="B114" i="21" s="1"/>
  <c r="E114" i="21" a="1"/>
  <c r="E114" i="21" s="1"/>
  <c r="D114" i="21" a="1"/>
  <c r="D114" i="21" s="1"/>
  <c r="C114" i="21" a="1"/>
  <c r="C114" i="21" s="1"/>
  <c r="A115" i="21"/>
  <c r="H114" i="21" a="1"/>
  <c r="H114" i="21" s="1"/>
  <c r="G114" i="21" a="1"/>
  <c r="G114" i="21" s="1"/>
  <c r="F114" i="21" a="1"/>
  <c r="F114" i="21" s="1"/>
  <c r="A50" i="6"/>
  <c r="A65" i="1"/>
  <c r="B115" i="21" l="1" a="1"/>
  <c r="B115" i="21" s="1"/>
  <c r="G115" i="21" a="1"/>
  <c r="G115" i="21" s="1"/>
  <c r="D115" i="21" a="1"/>
  <c r="D115" i="21" s="1"/>
  <c r="A116" i="21"/>
  <c r="C115" i="21" a="1"/>
  <c r="C115" i="21" s="1"/>
  <c r="F115" i="21" a="1"/>
  <c r="F115" i="21" s="1"/>
  <c r="E115" i="21" a="1"/>
  <c r="E115" i="21" s="1"/>
  <c r="H115" i="21" a="1"/>
  <c r="H115" i="21" s="1"/>
  <c r="A51" i="6"/>
  <c r="A66" i="1"/>
  <c r="C116" i="21" l="1" a="1"/>
  <c r="C116" i="21" s="1"/>
  <c r="B116" i="21" a="1"/>
  <c r="B116" i="21" s="1"/>
  <c r="E116" i="21" a="1"/>
  <c r="E116" i="21" s="1"/>
  <c r="D116" i="21" a="1"/>
  <c r="D116" i="21" s="1"/>
  <c r="H116" i="21" a="1"/>
  <c r="H116" i="21" s="1"/>
  <c r="G116" i="21" a="1"/>
  <c r="G116" i="21" s="1"/>
  <c r="F116" i="21" a="1"/>
  <c r="F116" i="21" s="1"/>
  <c r="A117" i="21"/>
  <c r="A52" i="6"/>
  <c r="A67" i="1"/>
  <c r="G117" i="21" l="1" a="1"/>
  <c r="G117" i="21" s="1"/>
  <c r="F117" i="21" a="1"/>
  <c r="F117" i="21" s="1"/>
  <c r="C117" i="21" a="1"/>
  <c r="C117" i="21" s="1"/>
  <c r="H117" i="21" a="1"/>
  <c r="H117" i="21" s="1"/>
  <c r="D117" i="21" a="1"/>
  <c r="D117" i="21" s="1"/>
  <c r="B117" i="21" a="1"/>
  <c r="B117" i="21" s="1"/>
  <c r="E117" i="21" a="1"/>
  <c r="E117" i="21" s="1"/>
  <c r="A118" i="21"/>
  <c r="A53" i="6"/>
  <c r="A68" i="1"/>
  <c r="A119" i="21" l="1"/>
  <c r="B118" i="21" a="1"/>
  <c r="B118" i="21" s="1"/>
  <c r="C118" i="21" a="1"/>
  <c r="C118" i="21" s="1"/>
  <c r="D118" i="21" a="1"/>
  <c r="D118" i="21" s="1"/>
  <c r="E118" i="21" a="1"/>
  <c r="E118" i="21" s="1"/>
  <c r="H118" i="21" a="1"/>
  <c r="H118" i="21" s="1"/>
  <c r="F118" i="21" a="1"/>
  <c r="F118" i="21" s="1"/>
  <c r="G118" i="21" a="1"/>
  <c r="G118" i="21" s="1"/>
  <c r="A54" i="6"/>
  <c r="A69" i="1"/>
  <c r="B119" i="21" l="1" a="1"/>
  <c r="B119" i="21" s="1"/>
  <c r="A120" i="21"/>
  <c r="G119" i="21" a="1"/>
  <c r="G119" i="21" s="1"/>
  <c r="C119" i="21" a="1"/>
  <c r="C119" i="21" s="1"/>
  <c r="E119" i="21" a="1"/>
  <c r="E119" i="21" s="1"/>
  <c r="H119" i="21" a="1"/>
  <c r="H119" i="21" s="1"/>
  <c r="F119" i="21" a="1"/>
  <c r="F119" i="21" s="1"/>
  <c r="D119" i="21" a="1"/>
  <c r="D119" i="21" s="1"/>
  <c r="A55" i="6"/>
  <c r="A70" i="1"/>
  <c r="B120" i="21" l="1" a="1"/>
  <c r="B120" i="21" s="1"/>
  <c r="A121" i="21"/>
  <c r="F120" i="21" a="1"/>
  <c r="F120" i="21" s="1"/>
  <c r="D120" i="21" a="1"/>
  <c r="D120" i="21" s="1"/>
  <c r="G120" i="21" a="1"/>
  <c r="G120" i="21" s="1"/>
  <c r="E120" i="21" a="1"/>
  <c r="E120" i="21" s="1"/>
  <c r="C120" i="21" a="1"/>
  <c r="C120" i="21" s="1"/>
  <c r="H120" i="21" a="1"/>
  <c r="H120" i="21" s="1"/>
  <c r="A56" i="6"/>
  <c r="A71" i="1"/>
  <c r="F121" i="21" l="1" a="1"/>
  <c r="F121" i="21" s="1"/>
  <c r="A122" i="21"/>
  <c r="G121" i="21" a="1"/>
  <c r="G121" i="21" s="1"/>
  <c r="C121" i="21" a="1"/>
  <c r="C121" i="21" s="1"/>
  <c r="B121" i="21" a="1"/>
  <c r="B121" i="21" s="1"/>
  <c r="H121" i="21" a="1"/>
  <c r="H121" i="21" s="1"/>
  <c r="E121" i="21" a="1"/>
  <c r="E121" i="21" s="1"/>
  <c r="D121" i="21" a="1"/>
  <c r="D121" i="21" s="1"/>
  <c r="A57" i="6"/>
  <c r="A72" i="1"/>
  <c r="C122" i="21" l="1" a="1"/>
  <c r="C122" i="21" s="1"/>
  <c r="B122" i="21" a="1"/>
  <c r="B122" i="21" s="1"/>
  <c r="E122" i="21" a="1"/>
  <c r="E122" i="21" s="1"/>
  <c r="D122" i="21" a="1"/>
  <c r="D122" i="21" s="1"/>
  <c r="A123" i="21"/>
  <c r="H122" i="21" a="1"/>
  <c r="H122" i="21" s="1"/>
  <c r="G122" i="21" a="1"/>
  <c r="G122" i="21" s="1"/>
  <c r="F122" i="21" a="1"/>
  <c r="F122" i="21" s="1"/>
  <c r="A58" i="6"/>
  <c r="A73" i="1"/>
  <c r="E123" i="21" l="1" a="1"/>
  <c r="E123" i="21" s="1"/>
  <c r="F123" i="21" a="1"/>
  <c r="F123" i="21" s="1"/>
  <c r="A124" i="21"/>
  <c r="H123" i="21" a="1"/>
  <c r="H123" i="21" s="1"/>
  <c r="D123" i="21" a="1"/>
  <c r="D123" i="21" s="1"/>
  <c r="C123" i="21" a="1"/>
  <c r="C123" i="21" s="1"/>
  <c r="B123" i="21" a="1"/>
  <c r="B123" i="21" s="1"/>
  <c r="G123" i="21" a="1"/>
  <c r="G123" i="21" s="1"/>
  <c r="AP147" i="27"/>
  <c r="AO147" i="27"/>
  <c r="A59" i="6"/>
  <c r="A74" i="1"/>
  <c r="B124" i="21" l="1" a="1"/>
  <c r="B124" i="21" s="1"/>
  <c r="C124" i="21" a="1"/>
  <c r="C124" i="21" s="1"/>
  <c r="D124" i="21" a="1"/>
  <c r="D124" i="21" s="1"/>
  <c r="E124" i="21" a="1"/>
  <c r="E124" i="21" s="1"/>
  <c r="H124" i="21" a="1"/>
  <c r="H124" i="21" s="1"/>
  <c r="A125" i="21"/>
  <c r="F124" i="21" a="1"/>
  <c r="F124" i="21" s="1"/>
  <c r="G124" i="21" a="1"/>
  <c r="G124" i="21" s="1"/>
  <c r="A60" i="6"/>
  <c r="A75" i="1"/>
  <c r="F125" i="21" l="1" a="1"/>
  <c r="F125" i="21" s="1"/>
  <c r="A126" i="21"/>
  <c r="C125" i="21" a="1"/>
  <c r="C125" i="21" s="1"/>
  <c r="D125" i="21" a="1"/>
  <c r="D125" i="21" s="1"/>
  <c r="E125" i="21" a="1"/>
  <c r="E125" i="21" s="1"/>
  <c r="B125" i="21" a="1"/>
  <c r="B125" i="21" s="1"/>
  <c r="G125" i="21" a="1"/>
  <c r="G125" i="21" s="1"/>
  <c r="H125" i="21" a="1"/>
  <c r="H125" i="21" s="1"/>
  <c r="A61" i="6"/>
  <c r="A76" i="1"/>
  <c r="C126" i="21" l="1" a="1"/>
  <c r="C126" i="21" s="1"/>
  <c r="D126" i="21" a="1"/>
  <c r="D126" i="21" s="1"/>
  <c r="E126" i="21" a="1"/>
  <c r="E126" i="21" s="1"/>
  <c r="F126" i="21" a="1"/>
  <c r="F126" i="21" s="1"/>
  <c r="B126" i="21" a="1"/>
  <c r="B126" i="21" s="1"/>
  <c r="G126" i="21" a="1"/>
  <c r="G126" i="21" s="1"/>
  <c r="H126" i="21" a="1"/>
  <c r="H126" i="21" s="1"/>
  <c r="A62" i="6"/>
  <c r="A77" i="1"/>
  <c r="A63" i="6" l="1"/>
  <c r="A78" i="1"/>
  <c r="A64" i="6" l="1"/>
  <c r="A79" i="1"/>
  <c r="A65" i="6" l="1"/>
  <c r="A80" i="1"/>
  <c r="A66" i="6" l="1"/>
  <c r="A81" i="1"/>
  <c r="A67" i="6" l="1"/>
  <c r="A82" i="1"/>
  <c r="A68" i="6" l="1"/>
  <c r="A83" i="1"/>
  <c r="A69" i="6" l="1"/>
  <c r="A84" i="1"/>
  <c r="A70" i="6" l="1"/>
  <c r="A85" i="1"/>
  <c r="AO132" i="27" l="1"/>
  <c r="AP132" i="27"/>
  <c r="A71" i="6"/>
  <c r="A86" i="1"/>
  <c r="A72" i="6" l="1"/>
  <c r="A87" i="1"/>
  <c r="A73" i="6" l="1"/>
  <c r="A88" i="1"/>
  <c r="A74" i="6" l="1"/>
  <c r="A89" i="1"/>
  <c r="A75" i="6" l="1"/>
  <c r="A90" i="1"/>
  <c r="A76" i="6" l="1"/>
  <c r="A91" i="1"/>
  <c r="AP174" i="27" l="1"/>
  <c r="AO174" i="27"/>
  <c r="A77" i="6"/>
  <c r="A92" i="1"/>
  <c r="AP201" i="27" l="1"/>
  <c r="AO201" i="27"/>
  <c r="A78" i="6"/>
  <c r="A93" i="1"/>
  <c r="A79" i="6" l="1"/>
  <c r="A94" i="1"/>
  <c r="AO185" i="27" l="1"/>
  <c r="AP158" i="27"/>
  <c r="AP185" i="27"/>
  <c r="AO158" i="27"/>
  <c r="A80" i="6"/>
  <c r="A95" i="1"/>
  <c r="A81" i="6" l="1"/>
  <c r="A96" i="1"/>
  <c r="A82" i="6" l="1"/>
  <c r="A97" i="1"/>
  <c r="AP173" i="27" l="1"/>
  <c r="AO173" i="27"/>
  <c r="AP184" i="27"/>
  <c r="AO184" i="27"/>
  <c r="AO200" i="27"/>
  <c r="AP200" i="27"/>
  <c r="AP157" i="27"/>
  <c r="AP117" i="27"/>
  <c r="A83" i="6"/>
  <c r="A98" i="1"/>
  <c r="A84" i="6" l="1"/>
  <c r="A99" i="1"/>
  <c r="A85" i="6" l="1"/>
  <c r="A100" i="1"/>
  <c r="G45" i="18" l="1"/>
  <c r="H46" i="18"/>
  <c r="G46" i="18"/>
  <c r="H47" i="18"/>
  <c r="G48" i="18"/>
  <c r="H44" i="18"/>
  <c r="H48" i="18"/>
  <c r="G47" i="18"/>
  <c r="G44" i="18"/>
  <c r="A86" i="6"/>
  <c r="A101" i="1"/>
  <c r="H45" i="18" l="1"/>
  <c r="H43" i="18"/>
  <c r="G43" i="18"/>
  <c r="G47" i="13"/>
  <c r="H46" i="13"/>
  <c r="G48" i="13"/>
  <c r="H47" i="13"/>
  <c r="G45" i="13"/>
  <c r="G44" i="13"/>
  <c r="H45" i="13"/>
  <c r="H48" i="13"/>
  <c r="G46" i="13"/>
  <c r="H44" i="13"/>
  <c r="A87" i="6"/>
  <c r="A102" i="1"/>
  <c r="G43" i="13" l="1"/>
  <c r="H43" i="13"/>
  <c r="A88" i="6"/>
  <c r="A103" i="1"/>
  <c r="A89" i="6" l="1"/>
  <c r="A104" i="1"/>
  <c r="A90" i="6" l="1"/>
  <c r="A105" i="1"/>
  <c r="A91" i="6" l="1"/>
  <c r="A106" i="1"/>
  <c r="A92" i="6" l="1"/>
  <c r="A107" i="1"/>
  <c r="A93" i="6" l="1"/>
  <c r="A88" i="27" a="1"/>
  <c r="A39" i="27" a="1"/>
  <c r="A23" i="27" a="1"/>
  <c r="A72" i="27" a="1"/>
  <c r="A7" i="27" a="1"/>
  <c r="A56" i="27" a="1"/>
  <c r="A108" i="1"/>
  <c r="A109" i="1" s="1"/>
  <c r="A94" i="6" l="1"/>
  <c r="AQ84" i="23"/>
  <c r="AP84" i="23"/>
  <c r="A56" i="27"/>
  <c r="A57" i="27" s="1" a="1"/>
  <c r="A72" i="27"/>
  <c r="A73" i="27" s="1" a="1"/>
  <c r="A39" i="27"/>
  <c r="A40" i="27" s="1" a="1"/>
  <c r="A7" i="27"/>
  <c r="A8" i="27" s="1" a="1"/>
  <c r="A23" i="27"/>
  <c r="A24" i="27" s="1" a="1"/>
  <c r="A88" i="27"/>
  <c r="A89" i="27" s="1" a="1"/>
  <c r="A110" i="1"/>
  <c r="A95" i="6" l="1"/>
  <c r="A8" i="27"/>
  <c r="A9" i="27" s="1" a="1"/>
  <c r="A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A58" i="27" l="1" a="1"/>
  <c r="A58" i="27" s="1"/>
  <c r="A59" i="27" s="1" a="1"/>
  <c r="A59" i="27" s="1"/>
  <c r="A96" i="6"/>
  <c r="AI101" i="27"/>
  <c r="AC101" i="27"/>
  <c r="Y101" i="27"/>
  <c r="L101" i="27"/>
  <c r="D101" i="27"/>
  <c r="AD101" i="27"/>
  <c r="R101" i="27"/>
  <c r="G101" i="27"/>
  <c r="N101" i="27"/>
  <c r="H85" i="27"/>
  <c r="W52" i="27"/>
  <c r="AJ36" i="27"/>
  <c r="E36" i="27"/>
  <c r="F85" i="27"/>
  <c r="AG52" i="27"/>
  <c r="R36" i="27"/>
  <c r="L85" i="27"/>
  <c r="K52" i="27"/>
  <c r="AL85" i="27"/>
  <c r="AI36" i="27"/>
  <c r="AK85" i="27"/>
  <c r="AD85" i="27"/>
  <c r="AF52" i="27"/>
  <c r="AG36" i="27"/>
  <c r="AK36" i="27"/>
  <c r="AG101" i="27"/>
  <c r="T101" i="27"/>
  <c r="AM101" i="27"/>
  <c r="AB101" i="27"/>
  <c r="J101" i="27"/>
  <c r="AL52" i="27"/>
  <c r="H36" i="27"/>
  <c r="E101" i="27"/>
  <c r="AB52" i="27"/>
  <c r="G36" i="27"/>
  <c r="AC52" i="27"/>
  <c r="M85" i="27"/>
  <c r="H101" i="27"/>
  <c r="AN101" i="27"/>
  <c r="W101" i="27"/>
  <c r="AD52" i="27"/>
  <c r="AC36" i="27"/>
  <c r="AH36" i="27"/>
  <c r="F52" i="27"/>
  <c r="Z101" i="27"/>
  <c r="U101" i="27"/>
  <c r="AH85" i="27"/>
  <c r="W85" i="27"/>
  <c r="R52" i="27"/>
  <c r="AI52" i="27"/>
  <c r="AI85" i="27"/>
  <c r="AM85" i="27"/>
  <c r="AJ85" i="27"/>
  <c r="AK101" i="27"/>
  <c r="G52" i="27"/>
  <c r="Q52" i="27"/>
  <c r="I36" i="27"/>
  <c r="P36" i="27"/>
  <c r="F36" i="27"/>
  <c r="U36" i="27"/>
  <c r="K101" i="27"/>
  <c r="L52" i="27"/>
  <c r="J36" i="27"/>
  <c r="AB36" i="27"/>
  <c r="V52" i="27"/>
  <c r="AH101" i="27"/>
  <c r="X101" i="27"/>
  <c r="N85" i="27"/>
  <c r="X85" i="27"/>
  <c r="N52" i="27"/>
  <c r="I52" i="27"/>
  <c r="AM52" i="27"/>
  <c r="AN85" i="27"/>
  <c r="S85" i="27"/>
  <c r="AA101" i="27"/>
  <c r="C52" i="27"/>
  <c r="AJ52" i="27"/>
  <c r="AL36" i="27"/>
  <c r="W36" i="27"/>
  <c r="AN36" i="27"/>
  <c r="C101" i="27"/>
  <c r="I101" i="27"/>
  <c r="M101" i="27"/>
  <c r="X36" i="27"/>
  <c r="L36" i="27"/>
  <c r="O85" i="27"/>
  <c r="T85" i="27"/>
  <c r="B85" i="27"/>
  <c r="I85" i="27"/>
  <c r="AK52" i="27"/>
  <c r="AC85" i="27"/>
  <c r="Y52" i="27"/>
  <c r="AA85" i="27"/>
  <c r="U85" i="27"/>
  <c r="P52" i="27"/>
  <c r="O52" i="27"/>
  <c r="H52" i="27"/>
  <c r="AF101" i="27"/>
  <c r="P101" i="27"/>
  <c r="AG85" i="27"/>
  <c r="Z85" i="27"/>
  <c r="J52" i="27"/>
  <c r="AF85" i="27"/>
  <c r="AE52" i="27"/>
  <c r="V101" i="27"/>
  <c r="U52" i="27"/>
  <c r="S101" i="27"/>
  <c r="C85" i="27"/>
  <c r="V85" i="27"/>
  <c r="O101" i="27"/>
  <c r="AH52" i="27"/>
  <c r="T52" i="27"/>
  <c r="T36" i="27"/>
  <c r="Z36" i="27"/>
  <c r="AA36" i="27"/>
  <c r="S52" i="27"/>
  <c r="B36" i="27"/>
  <c r="M52" i="27"/>
  <c r="V36" i="27"/>
  <c r="M36" i="27"/>
  <c r="E85" i="27"/>
  <c r="AB85" i="27"/>
  <c r="AE85" i="27"/>
  <c r="P85" i="27"/>
  <c r="G85" i="27"/>
  <c r="R85" i="27"/>
  <c r="D52" i="27"/>
  <c r="AA52" i="27"/>
  <c r="C36" i="27"/>
  <c r="O36" i="27"/>
  <c r="AD36" i="27"/>
  <c r="Y36" i="27"/>
  <c r="AE101" i="27"/>
  <c r="D85" i="27"/>
  <c r="Q85" i="27"/>
  <c r="J85" i="27"/>
  <c r="Y85" i="27"/>
  <c r="K85" i="27"/>
  <c r="AF36" i="27"/>
  <c r="AJ101" i="27"/>
  <c r="F101" i="27"/>
  <c r="AN52" i="27"/>
  <c r="Q36" i="27"/>
  <c r="N36" i="27"/>
  <c r="AM36" i="27"/>
  <c r="S36" i="27"/>
  <c r="AL101" i="27"/>
  <c r="Q101" i="27"/>
  <c r="B52" i="27"/>
  <c r="X52" i="27"/>
  <c r="B101" i="27"/>
  <c r="D36" i="27"/>
  <c r="E52" i="27"/>
  <c r="AE36" i="27"/>
  <c r="K36" i="27"/>
  <c r="Z52" i="27"/>
  <c r="A112" i="1"/>
  <c r="A10" i="27" l="1" a="1"/>
  <c r="A10" i="27" s="1"/>
  <c r="A11" i="27" s="1" a="1"/>
  <c r="A97" i="6"/>
  <c r="A113" i="1"/>
  <c r="A98" i="6" l="1"/>
  <c r="A11" i="27"/>
  <c r="A12" i="27" s="1" a="1"/>
  <c r="A12" i="27" s="1"/>
  <c r="A60" i="27" a="1"/>
  <c r="A114" i="1"/>
  <c r="A60" i="27" l="1"/>
  <c r="A61" i="27" s="1" a="1"/>
  <c r="A61" i="27" s="1"/>
  <c r="A62" i="27" s="1" a="1"/>
  <c r="A62" i="27" s="1"/>
  <c r="A13" i="27" a="1"/>
  <c r="A99" i="6"/>
  <c r="A115" i="1"/>
  <c r="A13" i="27" l="1"/>
  <c r="A100" i="6"/>
  <c r="A116" i="1"/>
  <c r="A56" i="26" a="1"/>
  <c r="A23" i="26" a="1"/>
  <c r="A66" i="26" a="1"/>
  <c r="A39" i="26" a="1"/>
  <c r="A83" i="26" a="1"/>
  <c r="A82" i="26" a="1"/>
  <c r="A14" i="27" l="1" a="1"/>
  <c r="A14" i="27" s="1"/>
  <c r="A15" i="27" s="1" a="1"/>
  <c r="A63" i="27" a="1"/>
  <c r="A101" i="6"/>
  <c r="A117" i="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02" i="6" l="1"/>
  <c r="A63" i="27"/>
  <c r="A64" i="27" s="1" a="1"/>
  <c r="A64" i="27" s="1"/>
  <c r="A65" i="27" s="1" a="1"/>
  <c r="A65" i="27" s="1"/>
  <c r="A15" i="27"/>
  <c r="A118" i="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G110" i="21" l="1" a="1"/>
  <c r="G110" i="21" s="1"/>
  <c r="F28" i="21" a="1"/>
  <c r="F28" i="21" s="1"/>
  <c r="D110" i="21" a="1"/>
  <c r="D110" i="21" s="1"/>
  <c r="D107" i="21" a="1"/>
  <c r="D107" i="21" s="1"/>
  <c r="A103" i="6"/>
  <c r="F37" i="21" a="1"/>
  <c r="F37" i="21" s="1"/>
  <c r="E110" i="21" a="1"/>
  <c r="E110" i="21" s="1"/>
  <c r="A135" i="27" a="1"/>
  <c r="A120" i="27" a="1"/>
  <c r="A105" i="27" a="1"/>
  <c r="A161" i="27" a="1"/>
  <c r="A188" i="27" a="1"/>
  <c r="A178" i="27" a="1"/>
  <c r="A151" i="27" a="1"/>
  <c r="F46" i="21" a="1"/>
  <c r="F46" i="21" s="1"/>
  <c r="F84" i="21" a="1"/>
  <c r="F84" i="21" s="1"/>
  <c r="H16" i="16" a="1"/>
  <c r="H16" i="16" s="1"/>
  <c r="F38" i="21" a="1"/>
  <c r="F38" i="21" s="1"/>
  <c r="H89" i="21" a="1"/>
  <c r="H89" i="21" s="1"/>
  <c r="G98" i="21" a="1"/>
  <c r="G98" i="21" s="1"/>
  <c r="H95" i="21" a="1"/>
  <c r="H95" i="21" s="1"/>
  <c r="F66" i="21" a="1"/>
  <c r="F66" i="21" s="1"/>
  <c r="E94" i="21" a="1"/>
  <c r="E94" i="21" s="1"/>
  <c r="D100" i="21" a="1"/>
  <c r="D100" i="21" s="1"/>
  <c r="D92" i="21" a="1"/>
  <c r="D92" i="21" s="1"/>
  <c r="F50" i="21" a="1"/>
  <c r="F50" i="21" s="1"/>
  <c r="F47" i="21" a="1"/>
  <c r="F47" i="21" s="1"/>
  <c r="A205" i="27" a="1"/>
  <c r="F32" i="21" a="1"/>
  <c r="F32" i="21" s="1"/>
  <c r="F39" i="21" a="1"/>
  <c r="F39" i="21" s="1"/>
  <c r="F33" i="21" a="1"/>
  <c r="F33" i="21" s="1"/>
  <c r="F67" i="21" a="1"/>
  <c r="F67" i="21" s="1"/>
  <c r="D101" i="21" a="1"/>
  <c r="D101" i="21" s="1"/>
  <c r="F95" i="21" a="1"/>
  <c r="F95" i="21" s="1"/>
  <c r="H90" i="21" a="1"/>
  <c r="H90" i="21" s="1"/>
  <c r="G88" i="21" a="1"/>
  <c r="G88" i="21" s="1"/>
  <c r="G104" i="21" a="1"/>
  <c r="G104" i="21" s="1"/>
  <c r="E102" i="21" a="1"/>
  <c r="E102" i="21" s="1"/>
  <c r="H93" i="21" a="1"/>
  <c r="H93" i="21" s="1"/>
  <c r="D89" i="21" a="1"/>
  <c r="D89" i="21" s="1"/>
  <c r="E108" i="21" a="1"/>
  <c r="E108" i="21" s="1"/>
  <c r="F94" i="21" a="1"/>
  <c r="F94" i="21" s="1"/>
  <c r="F35" i="21" a="1"/>
  <c r="F35" i="21" s="1"/>
  <c r="F97" i="21" a="1"/>
  <c r="F97" i="21" s="1"/>
  <c r="F59" i="21" a="1"/>
  <c r="F59" i="21" s="1"/>
  <c r="E109" i="21" a="1"/>
  <c r="E109" i="21" s="1"/>
  <c r="H103" i="21" a="1"/>
  <c r="H103" i="21" s="1"/>
  <c r="F105" i="21" a="1"/>
  <c r="F105" i="21" s="1"/>
  <c r="E98" i="21" a="1"/>
  <c r="E98" i="21" s="1"/>
  <c r="F22" i="21" a="1"/>
  <c r="F22" i="21" s="1"/>
  <c r="G91" i="21" a="1"/>
  <c r="G91" i="21" s="1"/>
  <c r="E90" i="21" a="1"/>
  <c r="E90" i="21" s="1"/>
  <c r="E89" i="21" a="1"/>
  <c r="E89" i="21" s="1"/>
  <c r="F82" i="21" a="1"/>
  <c r="F82" i="21" s="1"/>
  <c r="F98" i="21" a="1"/>
  <c r="F98" i="21" s="1"/>
  <c r="F100" i="21" a="1"/>
  <c r="F100" i="21" s="1"/>
  <c r="H99" i="21" a="1"/>
  <c r="H99" i="21" s="1"/>
  <c r="E91" i="21" a="1"/>
  <c r="E91" i="21" s="1"/>
  <c r="E93" i="21" a="1"/>
  <c r="E93" i="21" s="1"/>
  <c r="G101" i="21" a="1"/>
  <c r="G101" i="21" s="1"/>
  <c r="F24" i="21" a="1"/>
  <c r="F24" i="21" s="1"/>
  <c r="F18" i="21" a="1"/>
  <c r="F18" i="21" s="1"/>
  <c r="G94" i="21" a="1"/>
  <c r="G94" i="21" s="1"/>
  <c r="F108" i="21" a="1"/>
  <c r="F108" i="21" s="1"/>
  <c r="F23" i="21" a="1"/>
  <c r="F23" i="21" s="1"/>
  <c r="F34" i="21" a="1"/>
  <c r="F34" i="21" s="1"/>
  <c r="H98" i="21" a="1"/>
  <c r="H98" i="21" s="1"/>
  <c r="F102" i="21" a="1"/>
  <c r="F102" i="21" s="1"/>
  <c r="E103" i="21" a="1"/>
  <c r="E103" i="21" s="1"/>
  <c r="H105" i="21" a="1"/>
  <c r="H105" i="21" s="1"/>
  <c r="G105" i="21" a="1"/>
  <c r="G105" i="21" s="1"/>
  <c r="G102" i="21" a="1"/>
  <c r="G102" i="21" s="1"/>
  <c r="H101" i="21" a="1"/>
  <c r="H101" i="21" s="1"/>
  <c r="H102" i="21" a="1"/>
  <c r="H102" i="21" s="1"/>
  <c r="F62" i="21" a="1"/>
  <c r="F62" i="21" s="1"/>
  <c r="F74" i="21" a="1"/>
  <c r="F74" i="21" s="1"/>
  <c r="E105" i="21" a="1"/>
  <c r="E105" i="21" s="1"/>
  <c r="F85" i="21" a="1"/>
  <c r="F85" i="21" s="1"/>
  <c r="F65" i="21" a="1"/>
  <c r="F65" i="21" s="1"/>
  <c r="F31" i="21" a="1"/>
  <c r="F31" i="21" s="1"/>
  <c r="E104" i="21" a="1"/>
  <c r="E104" i="21" s="1"/>
  <c r="G106" i="21" a="1"/>
  <c r="G106" i="21" s="1"/>
  <c r="F56" i="21" a="1"/>
  <c r="F56" i="21" s="1"/>
  <c r="E92" i="21" a="1"/>
  <c r="E92" i="21" s="1"/>
  <c r="F63" i="21" a="1"/>
  <c r="F63" i="21" s="1"/>
  <c r="D88" i="21" a="1"/>
  <c r="D88" i="21" s="1"/>
  <c r="F58" i="21" a="1"/>
  <c r="F58" i="21" s="1"/>
  <c r="F92" i="21" a="1"/>
  <c r="F92" i="21" s="1"/>
  <c r="E97" i="21" a="1"/>
  <c r="E97" i="21" s="1"/>
  <c r="F40" i="21" a="1"/>
  <c r="F40" i="21" s="1"/>
  <c r="G92" i="21" a="1"/>
  <c r="G92" i="21" s="1"/>
  <c r="F79" i="21" a="1"/>
  <c r="F79" i="21" s="1"/>
  <c r="D97" i="21" a="1"/>
  <c r="D97" i="21" s="1"/>
  <c r="F21" i="21" a="1"/>
  <c r="F21" i="21" s="1"/>
  <c r="G100" i="21" a="1"/>
  <c r="G100" i="21" s="1"/>
  <c r="F109" i="21" a="1"/>
  <c r="F109" i="21" s="1"/>
  <c r="F29" i="21" a="1"/>
  <c r="F29" i="21" s="1"/>
  <c r="F76" i="21" a="1"/>
  <c r="F76" i="21" s="1"/>
  <c r="F77" i="21" a="1"/>
  <c r="F77" i="21" s="1"/>
  <c r="E106" i="21" a="1"/>
  <c r="E106" i="21" s="1"/>
  <c r="F106" i="21" a="1"/>
  <c r="F106" i="21" s="1"/>
  <c r="D109" i="21" a="1"/>
  <c r="D109" i="21" s="1"/>
  <c r="F101" i="21" a="1"/>
  <c r="F101" i="21" s="1"/>
  <c r="F17" i="21" a="1"/>
  <c r="F17" i="21" s="1"/>
  <c r="F16" i="21" a="1"/>
  <c r="F16" i="21" s="1"/>
  <c r="H16" i="19" a="1"/>
  <c r="H16" i="19" s="1"/>
  <c r="G96" i="21" a="1"/>
  <c r="G96" i="21" s="1"/>
  <c r="D105" i="21" a="1"/>
  <c r="D105" i="21" s="1"/>
  <c r="F48" i="21" a="1"/>
  <c r="F48" i="21" s="1"/>
  <c r="F25" i="21" a="1"/>
  <c r="F25" i="21" s="1"/>
  <c r="F43" i="21" a="1"/>
  <c r="F43" i="21" s="1"/>
  <c r="F75" i="21" a="1"/>
  <c r="F75" i="21" s="1"/>
  <c r="G109" i="21" a="1"/>
  <c r="G109" i="21" s="1"/>
  <c r="F81" i="21" a="1"/>
  <c r="F81" i="21" s="1"/>
  <c r="F57" i="21" a="1"/>
  <c r="F57" i="21" s="1"/>
  <c r="E99" i="21" a="1"/>
  <c r="E99" i="21" s="1"/>
  <c r="G107" i="21" a="1"/>
  <c r="G107" i="21" s="1"/>
  <c r="F16" i="19" a="1"/>
  <c r="F16" i="19" s="1"/>
  <c r="D94" i="21" a="1"/>
  <c r="D94" i="21" s="1"/>
  <c r="F68" i="21" a="1"/>
  <c r="F68" i="21" s="1"/>
  <c r="F44" i="21" a="1"/>
  <c r="F44" i="21" s="1"/>
  <c r="F49" i="21" a="1"/>
  <c r="F49" i="21" s="1"/>
  <c r="F60" i="21" a="1"/>
  <c r="F60" i="21" s="1"/>
  <c r="F52" i="21" a="1"/>
  <c r="F52" i="21" s="1"/>
  <c r="E88" i="21" a="1"/>
  <c r="E88" i="21" s="1"/>
  <c r="H88" i="21" a="1"/>
  <c r="H88" i="21" s="1"/>
  <c r="F86" i="21" a="1"/>
  <c r="F86" i="21" s="1"/>
  <c r="F27" i="21" a="1"/>
  <c r="F27" i="21" s="1"/>
  <c r="F104" i="21" a="1"/>
  <c r="F104" i="21" s="1"/>
  <c r="F41" i="21" a="1"/>
  <c r="F41" i="21" s="1"/>
  <c r="H92" i="21" a="1"/>
  <c r="H92" i="21" s="1"/>
  <c r="F72" i="21" a="1"/>
  <c r="F72" i="21" s="1"/>
  <c r="E107" i="21" a="1"/>
  <c r="E107" i="21" s="1"/>
  <c r="H106" i="21" a="1"/>
  <c r="H106" i="21" s="1"/>
  <c r="F107" i="21" a="1"/>
  <c r="F107" i="21" s="1"/>
  <c r="F78" i="21" a="1"/>
  <c r="F78" i="21" s="1"/>
  <c r="F36" i="21" a="1"/>
  <c r="F36" i="21" s="1"/>
  <c r="F93" i="21" a="1"/>
  <c r="F93" i="21" s="1"/>
  <c r="D99" i="21" a="1"/>
  <c r="D99" i="21" s="1"/>
  <c r="F83" i="21" a="1"/>
  <c r="F83" i="21" s="1"/>
  <c r="F99" i="21" a="1"/>
  <c r="F99" i="21" s="1"/>
  <c r="F53" i="21" a="1"/>
  <c r="F53" i="21" s="1"/>
  <c r="F70" i="21" a="1"/>
  <c r="F70" i="21" s="1"/>
  <c r="F64" i="21" a="1"/>
  <c r="F64" i="21" s="1"/>
  <c r="H91" i="21" a="1"/>
  <c r="H91" i="21" s="1"/>
  <c r="D106" i="21" a="1"/>
  <c r="D106" i="21" s="1"/>
  <c r="F20" i="21" a="1"/>
  <c r="F20" i="21" s="1"/>
  <c r="G90" i="21" a="1"/>
  <c r="G90" i="21" s="1"/>
  <c r="D96" i="21" a="1"/>
  <c r="D96" i="21" s="1"/>
  <c r="F88" i="21" a="1"/>
  <c r="F88" i="21" s="1"/>
  <c r="F42" i="21" a="1"/>
  <c r="F42" i="21" s="1"/>
  <c r="F30" i="21" a="1"/>
  <c r="F30" i="21" s="1"/>
  <c r="G89" i="21" a="1"/>
  <c r="G89" i="21" s="1"/>
  <c r="F55" i="21" a="1"/>
  <c r="F55" i="21" s="1"/>
  <c r="F71" i="21" a="1"/>
  <c r="F71" i="21" s="1"/>
  <c r="F103" i="21" a="1"/>
  <c r="F103" i="21" s="1"/>
  <c r="F19" i="21" a="1"/>
  <c r="F19" i="21" s="1"/>
  <c r="F96" i="21" a="1"/>
  <c r="F96" i="21" s="1"/>
  <c r="G108" i="21" a="1"/>
  <c r="G108" i="21" s="1"/>
  <c r="F91" i="21" a="1"/>
  <c r="F91" i="21" s="1"/>
  <c r="F87" i="21" a="1"/>
  <c r="F87" i="21" s="1"/>
  <c r="E101" i="21" a="1"/>
  <c r="E101" i="21" s="1"/>
  <c r="F26" i="21" a="1"/>
  <c r="F26" i="21" s="1"/>
  <c r="D93" i="21" a="1"/>
  <c r="D93" i="21" s="1"/>
  <c r="H100" i="21" a="1"/>
  <c r="H100" i="21" s="1"/>
  <c r="G97" i="21" a="1"/>
  <c r="G97" i="21" s="1"/>
  <c r="H94" i="21" a="1"/>
  <c r="H94" i="21" s="1"/>
  <c r="H97" i="21" a="1"/>
  <c r="H97" i="21" s="1"/>
  <c r="E95" i="21" a="1"/>
  <c r="E95" i="21" s="1"/>
  <c r="H104" i="21" a="1"/>
  <c r="H104" i="21" s="1"/>
  <c r="F80" i="21" a="1"/>
  <c r="F80" i="21" s="1"/>
  <c r="F89" i="21" a="1"/>
  <c r="F89" i="21" s="1"/>
  <c r="D91" i="21" a="1"/>
  <c r="D91" i="21" s="1"/>
  <c r="F51" i="21" a="1"/>
  <c r="F51" i="21" s="1"/>
  <c r="F69" i="21" a="1"/>
  <c r="F69" i="21" s="1"/>
  <c r="G93" i="21" a="1"/>
  <c r="G93" i="21" s="1"/>
  <c r="F90" i="21" a="1"/>
  <c r="F90" i="21" s="1"/>
  <c r="H96" i="21" a="1"/>
  <c r="H96" i="21" s="1"/>
  <c r="D103" i="21" a="1"/>
  <c r="D103" i="21" s="1"/>
  <c r="E96" i="21" a="1"/>
  <c r="E96" i="21" s="1"/>
  <c r="D98" i="21" a="1"/>
  <c r="D98" i="21" s="1"/>
  <c r="A16" i="27" a="1"/>
  <c r="F73" i="21" a="1"/>
  <c r="F73" i="21" s="1"/>
  <c r="E100" i="21" a="1"/>
  <c r="E100" i="21" s="1"/>
  <c r="D95" i="21" a="1"/>
  <c r="D95" i="21" s="1"/>
  <c r="D104" i="21" a="1"/>
  <c r="D104" i="21" s="1"/>
  <c r="F45" i="21" a="1"/>
  <c r="F45" i="21" s="1"/>
  <c r="F54" i="21" a="1"/>
  <c r="F54" i="21" s="1"/>
  <c r="D108" i="21" a="1"/>
  <c r="D108" i="21" s="1"/>
  <c r="F61" i="21" a="1"/>
  <c r="F61" i="21" s="1"/>
  <c r="A119" i="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G99" i="21" l="1" a="1"/>
  <c r="G99" i="21" s="1"/>
  <c r="H109" i="21" a="1"/>
  <c r="H109" i="21" s="1"/>
  <c r="H107" i="21" a="1"/>
  <c r="H107" i="21" s="1"/>
  <c r="G95" i="21" a="1"/>
  <c r="G95" i="21" s="1"/>
  <c r="D102" i="21" a="1"/>
  <c r="D102" i="21" s="1"/>
  <c r="G103" i="21" a="1"/>
  <c r="G103" i="21" s="1"/>
  <c r="H108" i="21" a="1"/>
  <c r="H108" i="21" s="1"/>
  <c r="F110" i="21" a="1"/>
  <c r="F110" i="21" s="1"/>
  <c r="D90" i="21" a="1"/>
  <c r="D90" i="21" s="1"/>
  <c r="A66" i="27" a="1"/>
  <c r="H110" i="21" a="1"/>
  <c r="H110" i="21" s="1"/>
  <c r="A205" i="27"/>
  <c r="W84" i="23"/>
  <c r="I84" i="23"/>
  <c r="AB84" i="23"/>
  <c r="AG84" i="23"/>
  <c r="AI84" i="23"/>
  <c r="G84" i="23"/>
  <c r="Y84" i="23"/>
  <c r="V84" i="23"/>
  <c r="C84" i="23"/>
  <c r="E84" i="23"/>
  <c r="N84" i="23"/>
  <c r="AJ84" i="23"/>
  <c r="AK84" i="23"/>
  <c r="Q84" i="23"/>
  <c r="AL84" i="23"/>
  <c r="AF84" i="23"/>
  <c r="AM84" i="23"/>
  <c r="AC84" i="23"/>
  <c r="K84" i="23"/>
  <c r="J84" i="23"/>
  <c r="Z84" i="23"/>
  <c r="O84" i="23"/>
  <c r="U84" i="23"/>
  <c r="S84" i="23"/>
  <c r="H84" i="23"/>
  <c r="F84" i="23"/>
  <c r="AA84" i="23"/>
  <c r="AD84" i="23"/>
  <c r="AE84" i="23"/>
  <c r="D84" i="23"/>
  <c r="AN84" i="23"/>
  <c r="L84" i="23"/>
  <c r="AO84" i="23"/>
  <c r="R84" i="23"/>
  <c r="T84" i="23"/>
  <c r="P84" i="23"/>
  <c r="M84" i="23"/>
  <c r="X84" i="23"/>
  <c r="AH84" i="23"/>
  <c r="A178" i="27"/>
  <c r="A179" i="27" s="1" a="1"/>
  <c r="A179" i="27" s="1"/>
  <c r="A180" i="27" s="1" a="1"/>
  <c r="A180" i="27" s="1"/>
  <c r="A181" i="27" s="1" a="1"/>
  <c r="A16" i="27"/>
  <c r="A17" i="27" s="1" a="1"/>
  <c r="A17" i="27" s="1"/>
  <c r="A18" i="27" s="1" a="1"/>
  <c r="A18" i="27" s="1"/>
  <c r="A19" i="27" s="1" a="1"/>
  <c r="A19" i="27" s="1"/>
  <c r="A188" i="27"/>
  <c r="A189" i="27" s="1" a="1"/>
  <c r="A189" i="27" s="1"/>
  <c r="A190" i="27" s="1" a="1"/>
  <c r="A190" i="27" s="1"/>
  <c r="A191" i="27" s="1" a="1"/>
  <c r="A191" i="27" s="1"/>
  <c r="A192" i="27" s="1" a="1"/>
  <c r="A192" i="27" s="1"/>
  <c r="A193" i="27" s="1" a="1"/>
  <c r="A193" i="27" s="1"/>
  <c r="A194" i="27" s="1" a="1"/>
  <c r="A161" i="27"/>
  <c r="A162" i="27" s="1" a="1"/>
  <c r="A162" i="27" s="1"/>
  <c r="A163" i="27" s="1" a="1"/>
  <c r="A163" i="27" s="1"/>
  <c r="A164" i="27" s="1" a="1"/>
  <c r="A164" i="27" s="1"/>
  <c r="A165" i="27" s="1" a="1"/>
  <c r="A165" i="27" s="1"/>
  <c r="A166" i="27" s="1" a="1"/>
  <c r="A166" i="27" s="1"/>
  <c r="A167" i="27" s="1" a="1"/>
  <c r="A151" i="27"/>
  <c r="A152" i="27" s="1" a="1"/>
  <c r="A152" i="27" s="1"/>
  <c r="A153" i="27" s="1" a="1"/>
  <c r="H158" i="27" s="1"/>
  <c r="A105" i="27"/>
  <c r="A106" i="27" s="1" a="1"/>
  <c r="A106" i="27" s="1"/>
  <c r="A107" i="27" s="1" a="1"/>
  <c r="A107" i="27" s="1"/>
  <c r="A108" i="27" s="1" a="1"/>
  <c r="A108" i="27" s="1"/>
  <c r="A109" i="27" s="1" a="1"/>
  <c r="A109" i="27" s="1"/>
  <c r="A110" i="27" s="1" a="1"/>
  <c r="A110" i="27" s="1"/>
  <c r="A111" i="27" s="1" a="1"/>
  <c r="A111" i="27" s="1"/>
  <c r="A112" i="27" s="1" a="1"/>
  <c r="A112" i="27" s="1"/>
  <c r="A113" i="27" s="1" a="1"/>
  <c r="A113" i="27" s="1"/>
  <c r="A114" i="27" s="1" a="1"/>
  <c r="A114" i="27" s="1"/>
  <c r="A115" i="27" s="1" a="1"/>
  <c r="A115" i="27" s="1"/>
  <c r="A116" i="27" s="1" a="1"/>
  <c r="A120" i="27"/>
  <c r="A121" i="27" s="1" a="1"/>
  <c r="A121" i="27" s="1"/>
  <c r="A122" i="27" s="1" a="1"/>
  <c r="A122" i="27" s="1"/>
  <c r="A123" i="27" s="1" a="1"/>
  <c r="A123" i="27" s="1"/>
  <c r="A124" i="27" s="1" a="1"/>
  <c r="A124" i="27" s="1"/>
  <c r="A125" i="27" s="1" a="1"/>
  <c r="A125" i="27" s="1"/>
  <c r="A126" i="27" s="1" a="1"/>
  <c r="A126" i="27" s="1"/>
  <c r="A127" i="27" s="1" a="1"/>
  <c r="A127" i="27" s="1"/>
  <c r="A128" i="27" s="1" a="1"/>
  <c r="A128" i="27" s="1"/>
  <c r="A129" i="27" s="1" a="1"/>
  <c r="A129" i="27" s="1"/>
  <c r="A130" i="27" s="1" a="1"/>
  <c r="A130" i="27" s="1"/>
  <c r="A131" i="27" s="1" a="1"/>
  <c r="A135" i="27"/>
  <c r="A136" i="27" s="1" a="1"/>
  <c r="A136" i="27" s="1"/>
  <c r="A137" i="27" s="1" a="1"/>
  <c r="A137" i="27" s="1"/>
  <c r="A138" i="27" s="1" a="1"/>
  <c r="A138" i="27" s="1"/>
  <c r="A139" i="27" s="1" a="1"/>
  <c r="A139" i="27" s="1"/>
  <c r="A140" i="27" s="1" a="1"/>
  <c r="A140" i="27" s="1"/>
  <c r="A141" i="27" s="1" a="1"/>
  <c r="A141" i="27" s="1"/>
  <c r="A142" i="27" s="1" a="1"/>
  <c r="A142" i="27" s="1"/>
  <c r="A143" i="27" s="1" a="1"/>
  <c r="A143" i="27" s="1"/>
  <c r="A144" i="27" s="1" a="1"/>
  <c r="A144" i="27" s="1"/>
  <c r="A145" i="27" s="1" a="1"/>
  <c r="A145" i="27" s="1"/>
  <c r="A146" i="27" s="1" a="1"/>
  <c r="A146" i="27" s="1"/>
  <c r="A120" i="1"/>
  <c r="D9" i="4" a="1"/>
  <c r="D9" i="4" s="1"/>
  <c r="E9" i="4" a="1"/>
  <c r="E9" i="4" s="1"/>
  <c r="H9" i="20"/>
  <c r="A66" i="27" l="1"/>
  <c r="A67" i="27" s="1" a="1"/>
  <c r="A67" i="27" s="1"/>
  <c r="A68" i="27" s="1" a="1"/>
  <c r="A68" i="27" s="1"/>
  <c r="N20" i="27"/>
  <c r="P87" i="3" s="1"/>
  <c r="K20" i="27"/>
  <c r="M88" i="3" s="1"/>
  <c r="H20" i="27"/>
  <c r="J87" i="3" s="1"/>
  <c r="E20" i="27"/>
  <c r="G87" i="3" s="1"/>
  <c r="O20" i="27"/>
  <c r="Q88" i="3" s="1"/>
  <c r="AH20" i="27"/>
  <c r="AJ87" i="3" s="1"/>
  <c r="R20" i="27"/>
  <c r="T88" i="3" s="1"/>
  <c r="G20" i="27"/>
  <c r="I87" i="3" s="1"/>
  <c r="AB20" i="27"/>
  <c r="AD88" i="3" s="1"/>
  <c r="B20" i="27"/>
  <c r="D88" i="3" s="1"/>
  <c r="D20" i="27"/>
  <c r="F87" i="3" s="1"/>
  <c r="AA20" i="27"/>
  <c r="AC87" i="3" s="1"/>
  <c r="U20" i="27"/>
  <c r="W87" i="3" s="1"/>
  <c r="P20" i="27"/>
  <c r="R87" i="3" s="1"/>
  <c r="T20" i="27"/>
  <c r="V87" i="3" s="1"/>
  <c r="L20" i="27"/>
  <c r="N87" i="3" s="1"/>
  <c r="Q20" i="27"/>
  <c r="S87" i="3" s="1"/>
  <c r="AF20" i="27"/>
  <c r="AH87" i="3" s="1"/>
  <c r="W20" i="27"/>
  <c r="Y88" i="3" s="1"/>
  <c r="X20" i="27"/>
  <c r="Z87" i="3" s="1"/>
  <c r="V20" i="27"/>
  <c r="X87" i="3" s="1"/>
  <c r="C20" i="27"/>
  <c r="E87" i="3" s="1"/>
  <c r="M20" i="27"/>
  <c r="O87" i="3" s="1"/>
  <c r="AM20" i="27"/>
  <c r="AO87" i="3" s="1"/>
  <c r="Z20" i="27"/>
  <c r="AB88" i="3" s="1"/>
  <c r="AJ20" i="27"/>
  <c r="AL87" i="3" s="1"/>
  <c r="AD20" i="27"/>
  <c r="AF87" i="3" s="1"/>
  <c r="AK20" i="27"/>
  <c r="AM88" i="3" s="1"/>
  <c r="AL20" i="27"/>
  <c r="AN87" i="3" s="1"/>
  <c r="F20" i="27"/>
  <c r="H87" i="3" s="1"/>
  <c r="I20" i="27"/>
  <c r="K88" i="3" s="1"/>
  <c r="AG20" i="27"/>
  <c r="AI87" i="3" s="1"/>
  <c r="S20" i="27"/>
  <c r="U88" i="3" s="1"/>
  <c r="Y20" i="27"/>
  <c r="AA87" i="3" s="1"/>
  <c r="J20" i="27"/>
  <c r="L87" i="3" s="1"/>
  <c r="AE20" i="27"/>
  <c r="AG87" i="3" s="1"/>
  <c r="AC20" i="27"/>
  <c r="AE87" i="3" s="1"/>
  <c r="AN20" i="27"/>
  <c r="AP87" i="3" s="1"/>
  <c r="AI20" i="27"/>
  <c r="AK87" i="3" s="1"/>
  <c r="AN201" i="27"/>
  <c r="R201" i="27"/>
  <c r="B158" i="27"/>
  <c r="S158" i="27"/>
  <c r="D201" i="27"/>
  <c r="N158" i="27"/>
  <c r="C201" i="27"/>
  <c r="M158" i="27"/>
  <c r="D158" i="27"/>
  <c r="B201" i="27"/>
  <c r="G158" i="27"/>
  <c r="V201" i="27"/>
  <c r="AE201" i="27"/>
  <c r="AN158" i="27"/>
  <c r="AK201" i="27"/>
  <c r="AD158" i="27"/>
  <c r="O201" i="27"/>
  <c r="AN132" i="27"/>
  <c r="AJ174" i="27"/>
  <c r="X185" i="27"/>
  <c r="M147" i="27"/>
  <c r="C117" i="27"/>
  <c r="AD174" i="27"/>
  <c r="R132" i="27"/>
  <c r="K174" i="27"/>
  <c r="AB185" i="27"/>
  <c r="M185" i="27"/>
  <c r="AE147" i="27"/>
  <c r="AD147" i="27"/>
  <c r="F147" i="27"/>
  <c r="AB132" i="27"/>
  <c r="AC132" i="27"/>
  <c r="W132" i="27"/>
  <c r="AB117" i="27"/>
  <c r="Z117" i="27"/>
  <c r="AC117" i="27"/>
  <c r="AF158" i="27"/>
  <c r="AH158" i="27"/>
  <c r="AG158" i="27"/>
  <c r="AB174" i="27"/>
  <c r="AC174" i="27"/>
  <c r="AE174" i="27"/>
  <c r="Q201" i="27"/>
  <c r="T201" i="27"/>
  <c r="AJ201" i="27"/>
  <c r="F185" i="27"/>
  <c r="Q185" i="27"/>
  <c r="AG132" i="27"/>
  <c r="AN147" i="27"/>
  <c r="J132" i="27"/>
  <c r="O117" i="27"/>
  <c r="AF174" i="27"/>
  <c r="K185" i="27"/>
  <c r="AG147" i="27"/>
  <c r="A194" i="27"/>
  <c r="A195" i="27" s="1" a="1"/>
  <c r="A195" i="27" s="1"/>
  <c r="A196" i="27" s="1" a="1"/>
  <c r="A196" i="27" s="1"/>
  <c r="A197" i="27" s="1" a="1"/>
  <c r="A197" i="27" s="1"/>
  <c r="A198" i="27" s="1" a="1"/>
  <c r="A198" i="27" s="1"/>
  <c r="A199" i="27" s="1" a="1"/>
  <c r="H185" i="27"/>
  <c r="S185" i="27"/>
  <c r="AD185" i="27"/>
  <c r="C42" i="23" a="1"/>
  <c r="C42" i="23" s="1"/>
  <c r="A167" i="27"/>
  <c r="A168" i="27" s="1" a="1"/>
  <c r="A168" i="27" s="1"/>
  <c r="A169" i="27" s="1" a="1"/>
  <c r="A169" i="27" s="1"/>
  <c r="A170" i="27" s="1" a="1"/>
  <c r="A170" i="27" s="1"/>
  <c r="A171" i="27" s="1" a="1"/>
  <c r="A171" i="27" s="1"/>
  <c r="A172" i="27" s="1" a="1"/>
  <c r="AD201" i="27"/>
  <c r="K201" i="27"/>
  <c r="AK147" i="27"/>
  <c r="V147" i="27"/>
  <c r="Y147" i="27"/>
  <c r="AK132" i="27"/>
  <c r="O132" i="27"/>
  <c r="D132" i="27"/>
  <c r="AM117" i="27"/>
  <c r="G117" i="27"/>
  <c r="U117" i="27"/>
  <c r="Q158" i="27"/>
  <c r="AK158" i="27"/>
  <c r="AB158" i="27"/>
  <c r="Q174" i="27"/>
  <c r="T174" i="27"/>
  <c r="U201" i="27"/>
  <c r="AB201" i="27"/>
  <c r="AC185" i="27"/>
  <c r="J185" i="27"/>
  <c r="Z185" i="27"/>
  <c r="W147" i="27"/>
  <c r="I117" i="27"/>
  <c r="AJ185" i="27"/>
  <c r="AJ147" i="27"/>
  <c r="M174" i="27"/>
  <c r="AH185" i="27"/>
  <c r="O147" i="27"/>
  <c r="AK117" i="27"/>
  <c r="AM174" i="27"/>
  <c r="F158" i="27"/>
  <c r="A153" i="27"/>
  <c r="A154" i="27" s="1" a="1"/>
  <c r="L174" i="27"/>
  <c r="AH174" i="27"/>
  <c r="L201" i="27"/>
  <c r="F201" i="27"/>
  <c r="AE185" i="27"/>
  <c r="W185" i="27"/>
  <c r="Y185" i="27"/>
  <c r="AO117" i="27"/>
  <c r="H254" i="32"/>
  <c r="G204" i="32"/>
  <c r="AD205" i="32"/>
  <c r="I205" i="32"/>
  <c r="AP254" i="32"/>
  <c r="AF205" i="32"/>
  <c r="Z205" i="32"/>
  <c r="V205" i="32"/>
  <c r="AM205" i="32"/>
  <c r="E204" i="32"/>
  <c r="J204" i="32"/>
  <c r="P205" i="32"/>
  <c r="K204" i="32"/>
  <c r="AF254" i="32"/>
  <c r="AL254" i="32"/>
  <c r="AF204" i="32"/>
  <c r="Y205" i="32"/>
  <c r="U204" i="32"/>
  <c r="S254" i="32"/>
  <c r="AJ205" i="32"/>
  <c r="AG204" i="32"/>
  <c r="R204" i="32"/>
  <c r="D204" i="32"/>
  <c r="D205" i="32"/>
  <c r="V254" i="32"/>
  <c r="AC204" i="32"/>
  <c r="U254" i="32"/>
  <c r="AK204" i="32"/>
  <c r="AO254" i="32"/>
  <c r="Q204" i="32"/>
  <c r="Q254" i="32"/>
  <c r="Q205" i="32"/>
  <c r="T204" i="32"/>
  <c r="AK254" i="32"/>
  <c r="W205" i="32"/>
  <c r="O205" i="32"/>
  <c r="AM204" i="32"/>
  <c r="I254" i="32"/>
  <c r="A116" i="27"/>
  <c r="AC205" i="32"/>
  <c r="AN204" i="32"/>
  <c r="E205" i="32"/>
  <c r="AH204" i="32"/>
  <c r="AI205" i="32"/>
  <c r="L254" i="32"/>
  <c r="AG205" i="32"/>
  <c r="F204" i="32"/>
  <c r="E254" i="32"/>
  <c r="AJ204" i="32"/>
  <c r="U205" i="32"/>
  <c r="F205" i="32"/>
  <c r="Z204" i="32"/>
  <c r="AG254" i="32"/>
  <c r="L204" i="32"/>
  <c r="AO205" i="32"/>
  <c r="W254" i="32"/>
  <c r="AB205" i="32"/>
  <c r="T205" i="32"/>
  <c r="AI254" i="32"/>
  <c r="D254" i="32"/>
  <c r="N204" i="32"/>
  <c r="AE254" i="32"/>
  <c r="AB204" i="32"/>
  <c r="R254" i="32"/>
  <c r="G205" i="32"/>
  <c r="I204" i="32"/>
  <c r="Z254" i="32"/>
  <c r="X205" i="32"/>
  <c r="AE205" i="32"/>
  <c r="AK205" i="32"/>
  <c r="H204" i="32"/>
  <c r="AA254" i="32"/>
  <c r="N254" i="32"/>
  <c r="AD204" i="32"/>
  <c r="W204" i="32"/>
  <c r="K205" i="32"/>
  <c r="O204" i="32"/>
  <c r="AD254" i="32"/>
  <c r="T254" i="32"/>
  <c r="S204" i="32"/>
  <c r="Y254" i="32"/>
  <c r="F254" i="32"/>
  <c r="AH254" i="32"/>
  <c r="R205" i="32"/>
  <c r="AP205" i="32"/>
  <c r="AL205" i="32"/>
  <c r="N205" i="32"/>
  <c r="H205" i="32"/>
  <c r="X254" i="32"/>
  <c r="AA204" i="32"/>
  <c r="AJ254" i="32"/>
  <c r="P204" i="32"/>
  <c r="J254" i="32"/>
  <c r="Y204" i="32"/>
  <c r="AE204" i="32"/>
  <c r="P254" i="32"/>
  <c r="K254" i="32"/>
  <c r="AP204" i="32"/>
  <c r="L205" i="32"/>
  <c r="M205" i="32"/>
  <c r="V204" i="32"/>
  <c r="G254" i="32"/>
  <c r="AO204" i="32"/>
  <c r="AI204" i="32"/>
  <c r="M204" i="32"/>
  <c r="AN205" i="32"/>
  <c r="AC254" i="32"/>
  <c r="AN254" i="32"/>
  <c r="J205" i="32"/>
  <c r="AB254" i="32"/>
  <c r="AM254" i="32"/>
  <c r="AL204" i="32"/>
  <c r="M254" i="32"/>
  <c r="AA205" i="32"/>
  <c r="O254" i="32"/>
  <c r="AH205" i="32"/>
  <c r="X204" i="32"/>
  <c r="S205" i="32"/>
  <c r="W158" i="27"/>
  <c r="AJ158" i="27"/>
  <c r="G174" i="27"/>
  <c r="AN174" i="27"/>
  <c r="AI174" i="27"/>
  <c r="E201" i="27"/>
  <c r="AM201" i="27"/>
  <c r="S201" i="27"/>
  <c r="B185" i="27"/>
  <c r="D185" i="27"/>
  <c r="AG185" i="27"/>
  <c r="AL132" i="27"/>
  <c r="E132" i="27"/>
  <c r="Y117" i="27"/>
  <c r="Q117" i="27"/>
  <c r="I158" i="27"/>
  <c r="AA158" i="27"/>
  <c r="O174" i="27"/>
  <c r="AL174" i="27"/>
  <c r="F174" i="27"/>
  <c r="N201" i="27"/>
  <c r="W201" i="27"/>
  <c r="X201" i="27"/>
  <c r="V185" i="27"/>
  <c r="L185" i="27"/>
  <c r="C185" i="27"/>
  <c r="P147" i="27"/>
  <c r="X117" i="27"/>
  <c r="J174" i="27"/>
  <c r="AA132" i="27"/>
  <c r="D147" i="27"/>
  <c r="AI132" i="27"/>
  <c r="AG117" i="27"/>
  <c r="T158" i="27"/>
  <c r="H147" i="27"/>
  <c r="J117" i="27"/>
  <c r="J147" i="27"/>
  <c r="S147" i="27"/>
  <c r="N117" i="27"/>
  <c r="AM158" i="27"/>
  <c r="X158" i="27"/>
  <c r="B174" i="27"/>
  <c r="D174" i="27"/>
  <c r="C174" i="27"/>
  <c r="AH201" i="27"/>
  <c r="H201" i="27"/>
  <c r="AF201" i="27"/>
  <c r="N185" i="27"/>
  <c r="AM185" i="27"/>
  <c r="AF185" i="27"/>
  <c r="Y132" i="27"/>
  <c r="A131" i="27"/>
  <c r="X132" i="27"/>
  <c r="AM147" i="27"/>
  <c r="N147" i="27"/>
  <c r="T132" i="27"/>
  <c r="AD132" i="27"/>
  <c r="B117" i="27"/>
  <c r="S117" i="27"/>
  <c r="D117" i="27"/>
  <c r="AI158" i="27"/>
  <c r="K158" i="27"/>
  <c r="L158" i="27"/>
  <c r="U174" i="27"/>
  <c r="W174" i="27"/>
  <c r="AK174" i="27"/>
  <c r="AC201" i="27"/>
  <c r="AI201" i="27"/>
  <c r="G201" i="27"/>
  <c r="AN185" i="27"/>
  <c r="E185" i="27"/>
  <c r="P185" i="27"/>
  <c r="A181" i="27"/>
  <c r="A182" i="27" s="1" a="1"/>
  <c r="A182" i="27" s="1"/>
  <c r="A183" i="27" s="1" a="1"/>
  <c r="AG184" i="27" s="1"/>
  <c r="W117" i="27"/>
  <c r="I147" i="27"/>
  <c r="P117" i="27"/>
  <c r="AG174" i="27"/>
  <c r="AM132" i="27"/>
  <c r="AD117" i="27"/>
  <c r="AA117" i="27"/>
  <c r="T147" i="27"/>
  <c r="AH147" i="27"/>
  <c r="C132" i="27"/>
  <c r="F117" i="27"/>
  <c r="AL147" i="27"/>
  <c r="K132" i="27"/>
  <c r="AF147" i="27"/>
  <c r="AJ117" i="27"/>
  <c r="R158" i="27"/>
  <c r="E158" i="27"/>
  <c r="C158" i="27"/>
  <c r="V174" i="27"/>
  <c r="S174" i="27"/>
  <c r="P201" i="27"/>
  <c r="Y201" i="27"/>
  <c r="I201" i="27"/>
  <c r="G88" i="3"/>
  <c r="U185" i="27"/>
  <c r="AL185" i="27"/>
  <c r="I185" i="27"/>
  <c r="X147" i="27"/>
  <c r="L117" i="27"/>
  <c r="R174" i="27"/>
  <c r="AK185" i="27"/>
  <c r="S132" i="27"/>
  <c r="P132" i="27"/>
  <c r="G132" i="27"/>
  <c r="AI117" i="27"/>
  <c r="O158" i="27"/>
  <c r="G147" i="27"/>
  <c r="AE132" i="27"/>
  <c r="AE158" i="27"/>
  <c r="AF117" i="27"/>
  <c r="AA147" i="27"/>
  <c r="AF132" i="27"/>
  <c r="H117" i="27"/>
  <c r="AI147" i="27"/>
  <c r="AN117" i="27"/>
  <c r="P158" i="27"/>
  <c r="Z158" i="27"/>
  <c r="Z174" i="27"/>
  <c r="Y174" i="27"/>
  <c r="X174" i="27"/>
  <c r="M201" i="27"/>
  <c r="J201" i="27"/>
  <c r="Z201" i="27"/>
  <c r="O185" i="27"/>
  <c r="R185" i="27"/>
  <c r="AA185" i="27"/>
  <c r="Q132" i="27"/>
  <c r="B132" i="27"/>
  <c r="AE117" i="27"/>
  <c r="E147" i="27"/>
  <c r="AH117" i="27"/>
  <c r="P174" i="27"/>
  <c r="C147" i="27"/>
  <c r="AJ132" i="27"/>
  <c r="AL158" i="27"/>
  <c r="E174" i="27"/>
  <c r="U147" i="27"/>
  <c r="F132" i="27"/>
  <c r="Y158" i="27"/>
  <c r="AB147" i="27"/>
  <c r="H132" i="27"/>
  <c r="T117" i="27"/>
  <c r="B147" i="27"/>
  <c r="R147" i="27"/>
  <c r="U132" i="27"/>
  <c r="M132" i="27"/>
  <c r="M117" i="27"/>
  <c r="N174" i="27"/>
  <c r="AC147" i="27"/>
  <c r="L147" i="27"/>
  <c r="AH132" i="27"/>
  <c r="Z132" i="27"/>
  <c r="N132" i="27"/>
  <c r="E117" i="27"/>
  <c r="AL117" i="27"/>
  <c r="J158" i="27"/>
  <c r="Q147" i="27"/>
  <c r="Z147" i="27"/>
  <c r="K147" i="27"/>
  <c r="L132" i="27"/>
  <c r="I132" i="27"/>
  <c r="V132" i="27"/>
  <c r="V117" i="27"/>
  <c r="R117" i="27"/>
  <c r="K117" i="27"/>
  <c r="V158" i="27"/>
  <c r="AC158" i="27"/>
  <c r="U158" i="27"/>
  <c r="AA174" i="27"/>
  <c r="I174" i="27"/>
  <c r="H174" i="27"/>
  <c r="AG201" i="27"/>
  <c r="AA201" i="27"/>
  <c r="AL201" i="27"/>
  <c r="AI185" i="27"/>
  <c r="G185" i="27"/>
  <c r="T185" i="27"/>
  <c r="A121" i="1"/>
  <c r="J9" i="4" a="1"/>
  <c r="J9" i="4" s="1"/>
  <c r="A8" i="5" s="1" a="1"/>
  <c r="A8" i="5" s="1"/>
  <c r="B69" i="27" l="1"/>
  <c r="D100" i="32" s="1"/>
  <c r="V69" i="27"/>
  <c r="X101" i="32" s="1"/>
  <c r="P69" i="27"/>
  <c r="R100" i="32" s="1"/>
  <c r="I69" i="27"/>
  <c r="K101" i="32" s="1"/>
  <c r="F69" i="27"/>
  <c r="H101" i="32" s="1"/>
  <c r="AG69" i="27"/>
  <c r="AI100" i="32" s="1"/>
  <c r="S69" i="27"/>
  <c r="U101" i="32" s="1"/>
  <c r="W69" i="27"/>
  <c r="Y100" i="32" s="1"/>
  <c r="Q69" i="27"/>
  <c r="S100" i="32" s="1"/>
  <c r="L69" i="27"/>
  <c r="N100" i="32" s="1"/>
  <c r="M69" i="27"/>
  <c r="O101" i="32" s="1"/>
  <c r="X69" i="27"/>
  <c r="Z100" i="32" s="1"/>
  <c r="AK69" i="27"/>
  <c r="AM101" i="32" s="1"/>
  <c r="C69" i="27"/>
  <c r="E100" i="32" s="1"/>
  <c r="AC69" i="27"/>
  <c r="AE101" i="32" s="1"/>
  <c r="AD69" i="27"/>
  <c r="AF101" i="32" s="1"/>
  <c r="AE69" i="27"/>
  <c r="AG100" i="32" s="1"/>
  <c r="AN69" i="27"/>
  <c r="AP101" i="32" s="1"/>
  <c r="D69" i="27"/>
  <c r="F101" i="32" s="1"/>
  <c r="AF69" i="27"/>
  <c r="AH101" i="32" s="1"/>
  <c r="AA69" i="27"/>
  <c r="AC101" i="32" s="1"/>
  <c r="E69" i="27"/>
  <c r="G100" i="32" s="1"/>
  <c r="AI69" i="27"/>
  <c r="AK101" i="32" s="1"/>
  <c r="K69" i="27"/>
  <c r="M101" i="32" s="1"/>
  <c r="R69" i="27"/>
  <c r="T101" i="32" s="1"/>
  <c r="H69" i="27"/>
  <c r="J100" i="32" s="1"/>
  <c r="AB69" i="27"/>
  <c r="AD100" i="32" s="1"/>
  <c r="J69" i="27"/>
  <c r="L101" i="32" s="1"/>
  <c r="AJ69" i="27"/>
  <c r="AL101" i="32" s="1"/>
  <c r="AH69" i="27"/>
  <c r="AJ100" i="32" s="1"/>
  <c r="O69" i="27"/>
  <c r="Q101" i="32" s="1"/>
  <c r="AM69" i="27"/>
  <c r="AO101" i="32" s="1"/>
  <c r="G69" i="27"/>
  <c r="I100" i="32" s="1"/>
  <c r="Z69" i="27"/>
  <c r="AB101" i="32" s="1"/>
  <c r="Y69" i="27"/>
  <c r="AA101" i="32" s="1"/>
  <c r="N69" i="27"/>
  <c r="P100" i="32" s="1"/>
  <c r="T69" i="27"/>
  <c r="V100" i="32" s="1"/>
  <c r="AL69" i="27"/>
  <c r="AN100" i="32" s="1"/>
  <c r="U69" i="27"/>
  <c r="W101" i="32" s="1"/>
  <c r="X100" i="32"/>
  <c r="J88" i="3"/>
  <c r="V88" i="3"/>
  <c r="N88" i="3"/>
  <c r="P88" i="3"/>
  <c r="M87" i="3"/>
  <c r="AH88" i="3"/>
  <c r="AI88" i="3"/>
  <c r="AD87" i="3"/>
  <c r="T87" i="3"/>
  <c r="E88" i="3"/>
  <c r="H88" i="3"/>
  <c r="Y87" i="3"/>
  <c r="AJ88" i="3"/>
  <c r="AA88" i="3"/>
  <c r="L88" i="3"/>
  <c r="Z88" i="3"/>
  <c r="Q87" i="3"/>
  <c r="I88" i="3"/>
  <c r="AE88" i="3"/>
  <c r="D87" i="3"/>
  <c r="AG88" i="3"/>
  <c r="U87" i="3"/>
  <c r="AC88" i="3"/>
  <c r="R88" i="3"/>
  <c r="AI152" i="32"/>
  <c r="X88" i="3"/>
  <c r="AP88" i="3"/>
  <c r="AF88" i="3"/>
  <c r="AO88" i="3"/>
  <c r="W88" i="3"/>
  <c r="F88" i="3"/>
  <c r="S88" i="3"/>
  <c r="AM87" i="3"/>
  <c r="AB87" i="3"/>
  <c r="O88" i="3"/>
  <c r="K87" i="3"/>
  <c r="AL88" i="3"/>
  <c r="AK88" i="3"/>
  <c r="AN88" i="3"/>
  <c r="AD200" i="27"/>
  <c r="AF153" i="32" s="1"/>
  <c r="G200" i="27"/>
  <c r="I153" i="32" s="1"/>
  <c r="AI200" i="27"/>
  <c r="AK153" i="32" s="1"/>
  <c r="Z200" i="27"/>
  <c r="AB153" i="32" s="1"/>
  <c r="N184" i="27"/>
  <c r="P152" i="32" s="1"/>
  <c r="E200" i="27"/>
  <c r="G153" i="32" s="1"/>
  <c r="V200" i="27"/>
  <c r="X153" i="32" s="1"/>
  <c r="W184" i="27"/>
  <c r="Y152" i="32" s="1"/>
  <c r="AG200" i="27"/>
  <c r="AI153" i="32" s="1"/>
  <c r="X200" i="27"/>
  <c r="Z153" i="32" s="1"/>
  <c r="V184" i="27"/>
  <c r="X152" i="32" s="1"/>
  <c r="AK200" i="27"/>
  <c r="AM153" i="32" s="1"/>
  <c r="H200" i="27"/>
  <c r="J153" i="32" s="1"/>
  <c r="AL200" i="27"/>
  <c r="AN153" i="32" s="1"/>
  <c r="Y184" i="27"/>
  <c r="AA152" i="32" s="1"/>
  <c r="I200" i="27"/>
  <c r="K153" i="32" s="1"/>
  <c r="P200" i="27"/>
  <c r="R153" i="32" s="1"/>
  <c r="Z173" i="27"/>
  <c r="AB89" i="4" s="1"/>
  <c r="W200" i="27"/>
  <c r="Y153" i="32" s="1"/>
  <c r="J173" i="27"/>
  <c r="L89" i="4" s="1"/>
  <c r="E173" i="27"/>
  <c r="G89" i="4" s="1"/>
  <c r="U173" i="27"/>
  <c r="W89" i="4" s="1"/>
  <c r="I184" i="27"/>
  <c r="K152" i="32" s="1"/>
  <c r="Z184" i="27"/>
  <c r="AB152" i="32" s="1"/>
  <c r="AC184" i="27"/>
  <c r="AE152" i="32" s="1"/>
  <c r="V173" i="27"/>
  <c r="X89" i="4" s="1"/>
  <c r="H50" i="32"/>
  <c r="H51" i="32"/>
  <c r="E184" i="27"/>
  <c r="G152" i="32" s="1"/>
  <c r="AA184" i="27"/>
  <c r="AC152" i="32" s="1"/>
  <c r="AN184" i="27"/>
  <c r="AP152" i="32" s="1"/>
  <c r="F50" i="32"/>
  <c r="F51" i="32"/>
  <c r="Z50" i="32"/>
  <c r="Z51" i="32"/>
  <c r="D212" i="32" a="1"/>
  <c r="D212" i="32" s="1"/>
  <c r="I212" i="32" s="1" a="1"/>
  <c r="W173" i="27"/>
  <c r="Y89" i="4" s="1"/>
  <c r="Q173" i="27"/>
  <c r="S89" i="4" s="1"/>
  <c r="D200" i="27"/>
  <c r="F153" i="32" s="1"/>
  <c r="AA200" i="27"/>
  <c r="AC153" i="32" s="1"/>
  <c r="O200" i="27"/>
  <c r="Q153" i="32" s="1"/>
  <c r="AA173" i="27"/>
  <c r="AC89" i="4" s="1"/>
  <c r="A172" i="27"/>
  <c r="C184" i="27"/>
  <c r="E152" i="32" s="1"/>
  <c r="J42" i="23" a="1"/>
  <c r="J42" i="23" s="1"/>
  <c r="Q15" i="21" a="1"/>
  <c r="M51" i="32"/>
  <c r="M50" i="32"/>
  <c r="AP51" i="32"/>
  <c r="AP50" i="32"/>
  <c r="AD184" i="27"/>
  <c r="AF152" i="32" s="1"/>
  <c r="X184" i="27"/>
  <c r="Z152" i="32" s="1"/>
  <c r="AL184" i="27"/>
  <c r="AN152" i="32" s="1"/>
  <c r="U51" i="32"/>
  <c r="U50" i="32"/>
  <c r="K51" i="32"/>
  <c r="K50" i="32"/>
  <c r="T173" i="27"/>
  <c r="V89" i="4" s="1"/>
  <c r="AI173" i="27"/>
  <c r="AK89" i="4" s="1"/>
  <c r="M200" i="27"/>
  <c r="O153" i="32" s="1"/>
  <c r="AN200" i="27"/>
  <c r="AP153" i="32" s="1"/>
  <c r="C200" i="27"/>
  <c r="E153" i="32" s="1"/>
  <c r="AN51" i="32"/>
  <c r="AN50" i="32"/>
  <c r="AK173" i="27"/>
  <c r="AM89" i="4" s="1"/>
  <c r="P50" i="32"/>
  <c r="P51" i="32"/>
  <c r="T51" i="32"/>
  <c r="T50" i="32"/>
  <c r="L184" i="27"/>
  <c r="N152" i="32" s="1"/>
  <c r="F184" i="27"/>
  <c r="H152" i="32" s="1"/>
  <c r="AM184" i="27"/>
  <c r="AO152" i="32" s="1"/>
  <c r="D51" i="32"/>
  <c r="D50" i="32"/>
  <c r="L51" i="32"/>
  <c r="L50" i="32"/>
  <c r="D173" i="27"/>
  <c r="F89" i="4" s="1"/>
  <c r="AE173" i="27"/>
  <c r="AG89" i="4" s="1"/>
  <c r="AM173" i="27"/>
  <c r="AO89" i="4" s="1"/>
  <c r="AE200" i="27"/>
  <c r="AG153" i="32" s="1"/>
  <c r="R200" i="27"/>
  <c r="T153" i="32" s="1"/>
  <c r="U200" i="27"/>
  <c r="W153" i="32" s="1"/>
  <c r="AE51" i="32"/>
  <c r="AE50" i="32"/>
  <c r="AF200" i="27"/>
  <c r="AH153" i="32" s="1"/>
  <c r="A199" i="27"/>
  <c r="AB51" i="32"/>
  <c r="AB50" i="32"/>
  <c r="A154" i="27"/>
  <c r="A155" i="27" s="1" a="1"/>
  <c r="A155" i="27" s="1"/>
  <c r="A156" i="27" s="1" a="1"/>
  <c r="N173" i="27"/>
  <c r="P89" i="4" s="1"/>
  <c r="C173" i="27"/>
  <c r="E89" i="4" s="1"/>
  <c r="R173" i="27"/>
  <c r="T89" i="4" s="1"/>
  <c r="T200" i="27"/>
  <c r="V153" i="32" s="1"/>
  <c r="L200" i="27"/>
  <c r="N153" i="32" s="1"/>
  <c r="AD50" i="32"/>
  <c r="AD51" i="32"/>
  <c r="E50" i="32"/>
  <c r="E51" i="32"/>
  <c r="AN173" i="27"/>
  <c r="AP89" i="4" s="1"/>
  <c r="X51" i="32"/>
  <c r="X50" i="32"/>
  <c r="P184" i="27"/>
  <c r="R152" i="32" s="1"/>
  <c r="I173" i="27"/>
  <c r="K89" i="4" s="1"/>
  <c r="O50" i="32"/>
  <c r="O51" i="32"/>
  <c r="AF50" i="32"/>
  <c r="AF51" i="32"/>
  <c r="M184" i="27"/>
  <c r="O152" i="32" s="1"/>
  <c r="AK184" i="27"/>
  <c r="AM152" i="32" s="1"/>
  <c r="AI50" i="32"/>
  <c r="AI51" i="32"/>
  <c r="S50" i="32"/>
  <c r="S51" i="32"/>
  <c r="W51" i="32"/>
  <c r="W50" i="32"/>
  <c r="F173" i="27"/>
  <c r="H89" i="4" s="1"/>
  <c r="AD173" i="27"/>
  <c r="AF89" i="4" s="1"/>
  <c r="K173" i="27"/>
  <c r="M89" i="4" s="1"/>
  <c r="K200" i="27"/>
  <c r="M153" i="32" s="1"/>
  <c r="S200" i="27"/>
  <c r="U153" i="32" s="1"/>
  <c r="Y51" i="32"/>
  <c r="Y50" i="32"/>
  <c r="G184" i="27"/>
  <c r="I152" i="32" s="1"/>
  <c r="AL173" i="27"/>
  <c r="AN89" i="4" s="1"/>
  <c r="AC51" i="32"/>
  <c r="AC50" i="32"/>
  <c r="AB184" i="27"/>
  <c r="AD152" i="32" s="1"/>
  <c r="B184" i="27"/>
  <c r="D152" i="32" s="1"/>
  <c r="S184" i="27"/>
  <c r="U152" i="32" s="1"/>
  <c r="N50" i="32"/>
  <c r="N51" i="32"/>
  <c r="T184" i="27"/>
  <c r="V152" i="32" s="1"/>
  <c r="AH51" i="32"/>
  <c r="AH50" i="32"/>
  <c r="R184" i="27"/>
  <c r="T152" i="32" s="1"/>
  <c r="AF184" i="27"/>
  <c r="AH152" i="32" s="1"/>
  <c r="J184" i="27"/>
  <c r="L152" i="32" s="1"/>
  <c r="AA50" i="32"/>
  <c r="AA51" i="32"/>
  <c r="I50" i="32"/>
  <c r="I51" i="32"/>
  <c r="AB173" i="27"/>
  <c r="AD89" i="4" s="1"/>
  <c r="Y173" i="27"/>
  <c r="AA89" i="4" s="1"/>
  <c r="O173" i="27"/>
  <c r="Q89" i="4" s="1"/>
  <c r="AJ200" i="27"/>
  <c r="AL153" i="32" s="1"/>
  <c r="J200" i="27"/>
  <c r="L153" i="32" s="1"/>
  <c r="B173" i="27"/>
  <c r="D89" i="4" s="1"/>
  <c r="G50" i="32"/>
  <c r="G51" i="32"/>
  <c r="J50" i="32"/>
  <c r="J51" i="32"/>
  <c r="AE184" i="27"/>
  <c r="AG152" i="32" s="1"/>
  <c r="Q184" i="27"/>
  <c r="S152" i="32" s="1"/>
  <c r="O184" i="27"/>
  <c r="Q152" i="32" s="1"/>
  <c r="AM50" i="32"/>
  <c r="AM51" i="32"/>
  <c r="AO50" i="32"/>
  <c r="AO51" i="32"/>
  <c r="G173" i="27"/>
  <c r="I89" i="4" s="1"/>
  <c r="AG173" i="27"/>
  <c r="AI89" i="4" s="1"/>
  <c r="X173" i="27"/>
  <c r="Z89" i="4" s="1"/>
  <c r="N200" i="27"/>
  <c r="P153" i="32" s="1"/>
  <c r="AM200" i="27"/>
  <c r="AO153" i="32" s="1"/>
  <c r="Y200" i="27"/>
  <c r="AA153" i="32" s="1"/>
  <c r="AJ50" i="32"/>
  <c r="AJ51" i="32"/>
  <c r="AH184" i="27"/>
  <c r="AJ152" i="32" s="1"/>
  <c r="R51" i="32"/>
  <c r="R50" i="32"/>
  <c r="D184" i="27"/>
  <c r="F152" i="32" s="1"/>
  <c r="H184" i="27"/>
  <c r="J152" i="32" s="1"/>
  <c r="AJ184" i="27"/>
  <c r="AL152" i="32" s="1"/>
  <c r="AJ173" i="27"/>
  <c r="AL89" i="4" s="1"/>
  <c r="M173" i="27"/>
  <c r="O89" i="4" s="1"/>
  <c r="H173" i="27"/>
  <c r="J89" i="4" s="1"/>
  <c r="AH200" i="27"/>
  <c r="AJ153" i="32" s="1"/>
  <c r="B200" i="27"/>
  <c r="D153" i="32" s="1"/>
  <c r="Q200" i="27"/>
  <c r="S153" i="32" s="1"/>
  <c r="AK51" i="32"/>
  <c r="AK50" i="32"/>
  <c r="AG51" i="32"/>
  <c r="AG50" i="32"/>
  <c r="AI184" i="27"/>
  <c r="AK152" i="32" s="1"/>
  <c r="A183" i="27"/>
  <c r="D161" i="32" a="1"/>
  <c r="D161" i="32" s="1"/>
  <c r="I161" i="32" s="1" a="1"/>
  <c r="AF173" i="27"/>
  <c r="AH89" i="4" s="1"/>
  <c r="L173" i="27"/>
  <c r="N89" i="4" s="1"/>
  <c r="S173" i="27"/>
  <c r="U89" i="4" s="1"/>
  <c r="Q50" i="32"/>
  <c r="Q51" i="32"/>
  <c r="V51" i="32"/>
  <c r="V50" i="32"/>
  <c r="AL51" i="32"/>
  <c r="AL50" i="32"/>
  <c r="K184" i="27"/>
  <c r="M152" i="32" s="1"/>
  <c r="U184" i="27"/>
  <c r="W152" i="32" s="1"/>
  <c r="P173" i="27"/>
  <c r="R89" i="4" s="1"/>
  <c r="AH173" i="27"/>
  <c r="AJ89" i="4" s="1"/>
  <c r="AC173" i="27"/>
  <c r="AE89" i="4" s="1"/>
  <c r="AC200" i="27"/>
  <c r="AE153" i="32" s="1"/>
  <c r="F200" i="27"/>
  <c r="H153" i="32" s="1"/>
  <c r="AB200" i="27"/>
  <c r="AD153" i="32" s="1"/>
  <c r="A122" i="1"/>
  <c r="I10" i="18"/>
  <c r="H10" i="18"/>
  <c r="G17" i="19" a="1"/>
  <c r="G17" i="19" s="1"/>
  <c r="G19" i="19" a="1"/>
  <c r="G19" i="19" s="1"/>
  <c r="E22" i="19" a="1"/>
  <c r="E22" i="19" s="1"/>
  <c r="F26" i="19" a="1"/>
  <c r="F26" i="19" s="1"/>
  <c r="F24" i="16" a="1"/>
  <c r="F24" i="16" s="1"/>
  <c r="H100" i="32" l="1"/>
  <c r="D101" i="32"/>
  <c r="R101" i="32"/>
  <c r="U100" i="32"/>
  <c r="Y101" i="32"/>
  <c r="AG101" i="32"/>
  <c r="K100" i="32"/>
  <c r="S101" i="32"/>
  <c r="E101" i="32"/>
  <c r="AE100" i="32"/>
  <c r="Z101" i="32"/>
  <c r="AM100" i="32"/>
  <c r="AI101" i="32"/>
  <c r="N101" i="32"/>
  <c r="O100" i="32"/>
  <c r="AF100" i="32"/>
  <c r="V101" i="32"/>
  <c r="P101" i="32"/>
  <c r="M100" i="32"/>
  <c r="AK100" i="32"/>
  <c r="T100" i="32"/>
  <c r="AP100" i="32"/>
  <c r="AO100" i="32"/>
  <c r="F100" i="32"/>
  <c r="Q100" i="32"/>
  <c r="AD101" i="32"/>
  <c r="L100" i="32"/>
  <c r="G101" i="32"/>
  <c r="W100" i="32"/>
  <c r="AN101" i="32"/>
  <c r="AH100" i="32"/>
  <c r="AC100" i="32"/>
  <c r="J101" i="32"/>
  <c r="AA100" i="32"/>
  <c r="AL100" i="32"/>
  <c r="I101" i="32"/>
  <c r="AJ101" i="32"/>
  <c r="AB100" i="32"/>
  <c r="D45" i="3" a="1"/>
  <c r="C24" i="13" s="1"/>
  <c r="E45" i="3" a="1"/>
  <c r="E45" i="3" s="1"/>
  <c r="B21" i="13" s="1"/>
  <c r="E157" i="27"/>
  <c r="G88" i="4" s="1"/>
  <c r="AL157" i="27"/>
  <c r="AN88" i="4" s="1"/>
  <c r="C157" i="27"/>
  <c r="E88" i="4" s="1"/>
  <c r="AH157" i="27"/>
  <c r="AJ88" i="4" s="1"/>
  <c r="M157" i="27"/>
  <c r="O88" i="4" s="1"/>
  <c r="I157" i="27"/>
  <c r="K88" i="4" s="1"/>
  <c r="AA157" i="27"/>
  <c r="AC88" i="4" s="1"/>
  <c r="AG157" i="27"/>
  <c r="AI88" i="4" s="1"/>
  <c r="AF157" i="27"/>
  <c r="AH88" i="4" s="1"/>
  <c r="J157" i="27"/>
  <c r="L88" i="4" s="1"/>
  <c r="P157" i="27"/>
  <c r="R88" i="4" s="1"/>
  <c r="AE157" i="27"/>
  <c r="AG88" i="4" s="1"/>
  <c r="AB157" i="27"/>
  <c r="AD88" i="4" s="1"/>
  <c r="U157" i="27"/>
  <c r="W88" i="4" s="1"/>
  <c r="AN157" i="27"/>
  <c r="AP88" i="4" s="1"/>
  <c r="Q157" i="27"/>
  <c r="S88" i="4" s="1"/>
  <c r="D157" i="27"/>
  <c r="F88" i="4" s="1"/>
  <c r="AM157" i="27"/>
  <c r="AO88" i="4" s="1"/>
  <c r="AC157" i="27"/>
  <c r="AE88" i="4" s="1"/>
  <c r="F157" i="27"/>
  <c r="H88" i="4" s="1"/>
  <c r="AK157" i="27"/>
  <c r="AM88" i="4" s="1"/>
  <c r="O157" i="27"/>
  <c r="Q88" i="4" s="1"/>
  <c r="H157" i="27"/>
  <c r="J88" i="4" s="1"/>
  <c r="R157" i="27"/>
  <c r="T88" i="4" s="1"/>
  <c r="AJ157" i="27"/>
  <c r="AL88" i="4" s="1"/>
  <c r="AI157" i="27"/>
  <c r="AK88" i="4" s="1"/>
  <c r="Z157" i="27"/>
  <c r="AB88" i="4" s="1"/>
  <c r="Y157" i="27"/>
  <c r="AA88" i="4" s="1"/>
  <c r="N157" i="27"/>
  <c r="P88" i="4" s="1"/>
  <c r="X157" i="27"/>
  <c r="Z88" i="4" s="1"/>
  <c r="L157" i="27"/>
  <c r="N88" i="4" s="1"/>
  <c r="G157" i="27"/>
  <c r="I88" i="4" s="1"/>
  <c r="AD157" i="27"/>
  <c r="AF88" i="4" s="1"/>
  <c r="B157" i="27"/>
  <c r="D88" i="4" s="1"/>
  <c r="K157" i="27"/>
  <c r="M88" i="4" s="1"/>
  <c r="T157" i="27"/>
  <c r="V88" i="4" s="1"/>
  <c r="S157" i="27"/>
  <c r="U88" i="4" s="1"/>
  <c r="W157" i="27"/>
  <c r="Y88" i="4" s="1"/>
  <c r="V157" i="27"/>
  <c r="X88" i="4" s="1"/>
  <c r="Q15" i="21"/>
  <c r="G32" i="20"/>
  <c r="G35" i="20"/>
  <c r="G42" i="20"/>
  <c r="B23" i="20"/>
  <c r="G39" i="20"/>
  <c r="B24" i="20"/>
  <c r="G38" i="20"/>
  <c r="G40" i="20"/>
  <c r="G36" i="20"/>
  <c r="B25" i="20"/>
  <c r="B26" i="20"/>
  <c r="B21" i="20"/>
  <c r="G41" i="20"/>
  <c r="B22" i="20"/>
  <c r="G37" i="20"/>
  <c r="G34" i="20"/>
  <c r="G33" i="20"/>
  <c r="D109" i="32" a="1"/>
  <c r="D109" i="32" s="1"/>
  <c r="I109" i="32" s="1" a="1"/>
  <c r="A208" i="31" a="1"/>
  <c r="A208" i="31" s="1"/>
  <c r="I212" i="32"/>
  <c r="E8" i="32" a="1"/>
  <c r="E8" i="32" s="1"/>
  <c r="E45" i="4" a="1"/>
  <c r="AO157" i="27"/>
  <c r="A156" i="27"/>
  <c r="I161" i="32"/>
  <c r="A162" i="31" a="1"/>
  <c r="A162" i="31" s="1"/>
  <c r="D8" i="32" a="1"/>
  <c r="D8" i="32" s="1"/>
  <c r="A123" i="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C23" i="13" l="1"/>
  <c r="C22" i="13"/>
  <c r="E56" i="32" a="1"/>
  <c r="E56" i="32" s="1"/>
  <c r="C25" i="13"/>
  <c r="D56" i="32" a="1"/>
  <c r="D56" i="32" s="1"/>
  <c r="C26" i="13"/>
  <c r="D45" i="3"/>
  <c r="I45" i="3" s="1" a="1"/>
  <c r="B25" i="13"/>
  <c r="B23" i="13"/>
  <c r="B26" i="13"/>
  <c r="B24" i="13"/>
  <c r="B22" i="13"/>
  <c r="D45" i="4" a="1"/>
  <c r="D45" i="4" s="1"/>
  <c r="I8" i="32" a="1"/>
  <c r="I8" i="32" s="1"/>
  <c r="E45" i="4"/>
  <c r="C21" i="18" s="1"/>
  <c r="C22" i="18"/>
  <c r="C24" i="18"/>
  <c r="C23" i="18"/>
  <c r="C26" i="18"/>
  <c r="C25" i="18"/>
  <c r="I109" i="32"/>
  <c r="A112" i="31" a="1"/>
  <c r="A112" i="31" s="1"/>
  <c r="A124" i="1"/>
  <c r="H9" i="18"/>
  <c r="I9" i="18"/>
  <c r="I57" i="32" l="1" a="1"/>
  <c r="A11" i="31" s="1" a="1"/>
  <c r="A11" i="31" s="1"/>
  <c r="Q15" i="16" a="1"/>
  <c r="Q15" i="16" s="1"/>
  <c r="G33" i="13" s="1"/>
  <c r="C21" i="13"/>
  <c r="B26" i="18"/>
  <c r="B22" i="18"/>
  <c r="B25" i="18"/>
  <c r="B23" i="18"/>
  <c r="B24" i="18"/>
  <c r="A62" i="31" a="1"/>
  <c r="A62" i="31" s="1"/>
  <c r="B21" i="18"/>
  <c r="Q15" i="19" a="1"/>
  <c r="Q15" i="19" s="1"/>
  <c r="J45" i="4" a="1"/>
  <c r="A11" i="10" a="1"/>
  <c r="A11" i="10" s="1"/>
  <c r="I45" i="3"/>
  <c r="A125" i="1"/>
  <c r="I57" i="32" l="1"/>
  <c r="H37" i="13"/>
  <c r="G35" i="13"/>
  <c r="H36" i="13"/>
  <c r="G39" i="13"/>
  <c r="G37" i="13"/>
  <c r="H35" i="13"/>
  <c r="H40" i="13"/>
  <c r="H39" i="13"/>
  <c r="G32" i="13"/>
  <c r="H32" i="13"/>
  <c r="G36" i="13"/>
  <c r="G41" i="13"/>
  <c r="H41" i="13"/>
  <c r="H38" i="13"/>
  <c r="G42" i="13"/>
  <c r="G38" i="13"/>
  <c r="H42" i="13"/>
  <c r="G40" i="13"/>
  <c r="H34" i="13"/>
  <c r="H33" i="13"/>
  <c r="G34" i="13"/>
  <c r="A8" i="12" a="1"/>
  <c r="A8" i="12" s="1"/>
  <c r="J45" i="4"/>
  <c r="G37" i="18"/>
  <c r="H35" i="18"/>
  <c r="G40" i="18"/>
  <c r="H42" i="18"/>
  <c r="H32" i="18"/>
  <c r="G41" i="18"/>
  <c r="G36" i="18"/>
  <c r="H41" i="18"/>
  <c r="G32" i="18"/>
  <c r="G38" i="18"/>
  <c r="G42" i="18"/>
  <c r="H34" i="18"/>
  <c r="H40" i="18"/>
  <c r="G33" i="18"/>
  <c r="H38" i="18"/>
  <c r="H36" i="18"/>
  <c r="H39" i="18"/>
  <c r="G39" i="18"/>
  <c r="G35" i="18"/>
  <c r="H37" i="18"/>
  <c r="H33" i="18"/>
  <c r="G34" i="18"/>
  <c r="A126" i="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<sst xmlns="http://schemas.openxmlformats.org/spreadsheetml/2006/main" count="1878" uniqueCount="362">
  <si>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</si>
  <si>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</si>
  <si>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</si>
  <si>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</si>
  <si>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</si>
  <si>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</si>
  <si>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</si>
  <si>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</si>
  <si>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</si>
  <si>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</si>
  <si>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</si>
  <si>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</si>
  <si>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</si>
  <si>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</si>
  <si>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</si>
  <si>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</si>
  <si>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</si>
  <si>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</si>
  <si>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</si>
  <si>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</si>
  <si>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</si>
  <si>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</si>
  <si>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</si>
  <si>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</si>
  <si>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</si>
  <si>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</si>
  <si>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</si>
  <si>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</si>
  <si>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</si>
  <si>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</si>
  <si>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</si>
  <si>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</si>
  <si>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</si>
  <si>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</si>
  <si>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</si>
  <si>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</si>
  <si>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</si>
  <si>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</si>
  <si>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</si>
  <si>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</si>
  <si>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</si>
  <si>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</si>
  <si>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</si>
  <si>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</si>
  <si>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</si>
  <si>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</si>
  <si>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</si>
  <si>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</si>
  <si>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</si>
  <si>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</si>
  <si>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</si>
  <si>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</si>
  <si>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</si>
  <si>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</si>
  <si>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</si>
  <si>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</si>
  <si>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</si>
  <si>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</si>
  <si>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</si>
  <si>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</si>
  <si>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</si>
  <si>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</si>
  <si>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</si>
  <si>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</si>
  <si>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</si>
  <si>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</si>
  <si>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</si>
  <si>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</si>
  <si>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</si>
  <si>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</si>
  <si>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</si>
  <si>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</si>
  <si>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</si>
  <si>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</si>
  <si>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</si>
  <si>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</si>
  <si>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</si>
  <si>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</si>
  <si>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</si>
  <si>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</si>
  <si>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</si>
  <si>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</si>
  <si>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</si>
  <si>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</si>
  <si>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</si>
  <si>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</si>
  <si>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</si>
  <si>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</si>
  <si>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</si>
  <si>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</si>
  <si>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</si>
  <si>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</si>
  <si>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</si>
  <si>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</si>
  <si>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</si>
  <si>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</si>
  <si>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</si>
  <si>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</si>
  <si>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</si>
  <si>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</si>
  <si>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</si>
  <si>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</si>
  <si>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</si>
  <si>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</si>
  <si>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</si>
  <si>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</si>
  <si>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</si>
  <si>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</si>
  <si>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</si>
  <si>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</si>
  <si>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</si>
  <si>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</si>
  <si>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</si>
  <si>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</si>
  <si>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</si>
  <si>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</si>
  <si>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</si>
  <si>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</si>
  <si>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</si>
  <si>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</si>
  <si>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</si>
  <si>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</si>
  <si>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</si>
  <si>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</si>
  <si>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</si>
  <si>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</si>
  <si>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</si>
  <si>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</si>
  <si>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</si>
  <si>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</si>
  <si>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</si>
  <si>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</si>
  <si>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</si>
  <si>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</si>
  <si>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</si>
  <si>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</si>
  <si>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</si>
  <si>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</si>
  <si>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</si>
  <si>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</si>
  <si>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</si>
  <si>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</si>
  <si>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</si>
  <si>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</si>
  <si>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</si>
  <si>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</si>
  <si>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</si>
  <si>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</si>
  <si>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</si>
  <si>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</si>
  <si>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</si>
  <si>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</si>
  <si>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</si>
  <si>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</si>
  <si>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</si>
  <si>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</si>
  <si>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</si>
  <si>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</si>
  <si>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</si>
  <si>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</si>
  <si>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</si>
  <si>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</si>
  <si>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</si>
  <si>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</si>
  <si>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</si>
  <si>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</si>
  <si>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</si>
  <si>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</si>
  <si>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</si>
  <si>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</si>
  <si>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</si>
  <si>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</si>
  <si>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</si>
  <si>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</si>
  <si>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</si>
  <si>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</si>
  <si>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</si>
  <si>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</si>
  <si>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</si>
  <si>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</si>
  <si>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</si>
  <si>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</si>
  <si>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</si>
  <si>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</si>
  <si>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</si>
  <si>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</si>
  <si>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</si>
  <si>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</si>
  <si>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</si>
  <si>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</si>
  <si>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</si>
  <si>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</si>
  <si>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</si>
  <si>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</si>
  <si>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</si>
  <si>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</si>
  <si>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</si>
  <si>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</si>
  <si>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</si>
  <si>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</si>
  <si>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</si>
  <si>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</si>
  <si>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</si>
  <si>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</si>
  <si>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</si>
  <si>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</si>
  <si>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</si>
  <si>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</si>
  <si>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</si>
  <si>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</si>
  <si>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</si>
  <si>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</si>
  <si>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</si>
  <si>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</si>
  <si>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</si>
  <si>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</si>
  <si>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</si>
  <si>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</si>
  <si>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</si>
  <si>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</si>
  <si>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</si>
  <si>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</si>
  <si>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</si>
  <si>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</si>
  <si>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</si>
  <si>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</si>
  <si>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</si>
  <si>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</si>
  <si>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</si>
  <si>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</si>
  <si>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</si>
  <si>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</si>
  <si>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</si>
  <si>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</si>
  <si>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</si>
  <si>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</si>
  <si>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</si>
  <si>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</si>
  <si>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</si>
  <si>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</si>
  <si>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</si>
  <si>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</si>
  <si>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</si>
  <si>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</si>
  <si>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</si>
  <si>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</si>
  <si>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</si>
  <si>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</si>
  <si>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</si>
  <si>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</si>
  <si>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</si>
  <si>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</si>
  <si>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</si>
  <si>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</si>
  <si>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</si>
  <si>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</si>
  <si>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</si>
  <si>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</si>
  <si>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</si>
  <si>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</si>
  <si>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</si>
  <si>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</si>
  <si>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</si>
  <si>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</si>
  <si>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</si>
  <si>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</si>
  <si>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</si>
  <si>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</si>
  <si>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</si>
  <si>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</si>
  <si>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</si>
  <si>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</si>
  <si>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</si>
  <si>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</si>
  <si>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</si>
  <si>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</si>
  <si>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</si>
  <si>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</si>
  <si>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</si>
  <si>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</si>
  <si>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</si>
  <si>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</si>
  <si>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</si>
  <si>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</si>
  <si>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</si>
  <si>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</si>
  <si>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</si>
  <si>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</si>
  <si>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</si>
  <si>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</si>
  <si>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</si>
  <si>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</si>
  <si>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</si>
  <si>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</si>
  <si>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</si>
  <si>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</si>
  <si>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</si>
  <si>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</si>
  <si>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</si>
  <si>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</si>
  <si>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</si>
  <si>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</si>
  <si>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</si>
  <si>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</si>
  <si>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</si>
  <si>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</si>
  <si>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</si>
  <si>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</si>
  <si>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</si>
  <si>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</si>
  <si>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</si>
  <si>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</si>
  <si>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</si>
  <si>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</si>
  <si>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</si>
  <si>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</si>
  <si>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</si>
  <si>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</si>
  <si>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</si>
  <si>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</si>
  <si>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</si>
  <si>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</si>
  <si>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</si>
  <si>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</si>
  <si>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</si>
  <si>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</si>
  <si>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</si>
  <si>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</si>
  <si>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</si>
  <si>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</si>
  <si>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</si>
  <si>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</si>
  <si>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</si>
  <si>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</si>
  <si>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</si>
  <si>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</si>
  <si>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</si>
  <si>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</si>
  <si>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</si>
  <si>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</si>
  <si>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</si>
  <si>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</si>
  <si>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</si>
  <si>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</si>
  <si>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</si>
  <si>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</si>
  <si>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</si>
  <si>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</si>
  <si>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</si>
  <si>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</si>
  <si>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</si>
  <si>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</si>
  <si>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</si>
  <si>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</si>
  <si>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</si>
  <si>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</si>
  <si>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https://www.insee.fr/fr/statistiques/8682743</t>
  </si>
  <si>
    <t>https://www.insee.fr/fr/statistiques/serie/011816634</t>
  </si>
  <si>
    <t>011816634</t>
  </si>
  <si>
    <t>https://www.insee.fr/fr/statistiques/8899388</t>
  </si>
  <si>
    <t>actualisation décembre 2025</t>
  </si>
  <si>
    <t>actualisation novembre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</si>
</sst>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 numFmtId="179" formatCode="0.00000000"/>
  </numFmts>
  <fonts count="57">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
      <sz val="10"/>
      <name val="Arial"/>
      <family val="2"/>
    </font>
    <font>
      <sz val="10"/>
      <color rgb="FF000000"/>
      <name val="Arial"/>
    </font>
    <font>
      <sz val="10"/>
      <name val="Arial"/>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7">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4" fillId="0" borderId="0"/>
    <xf numFmtId="0" fontId="56" fillId="0" borderId="0"/>
    <xf numFmtId="178" fontId="56" fillId="0" borderId="0" applyFill="0" applyBorder="0" applyAlignment="0" applyProtection="0"/>
  </cellStyleXfs>
  <cellXfs count="282">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166" fontId="54" fillId="0" borderId="0" xfId="14" applyNumberFormat="1"/>
    <xf numFmtId="166" fontId="44" fillId="0" borderId="0" xfId="14" applyNumberFormat="1" applyFont="1"/>
    <xf numFmtId="179" fontId="0" fillId="0" borderId="0" xfId="0" applyNumberFormat="1" applyAlignment="1">
      <alignment horizontal="center" vertical="center"/>
    </xf>
    <xf numFmtId="179" fontId="0" fillId="0" borderId="0" xfId="0" applyNumberFormat="1"/>
    <xf numFmtId="169" fontId="21" fillId="0" borderId="1" xfId="1" applyNumberFormat="1" applyFont="1" applyBorder="1" applyAlignment="1">
      <alignment horizontal="center" vertical="center"/>
    </xf>
    <xf numFmtId="0" fontId="9" fillId="0" borderId="0" xfId="2" quotePrefix="1" applyAlignment="1">
      <alignment horizontal="center" vertical="center"/>
    </xf>
    <xf numFmtId="0" fontId="55" fillId="10" borderId="12" xfId="0" applyFont="1" applyFill="1" applyBorder="1" applyAlignment="1">
      <alignment horizontal="center"/>
    </xf>
    <xf numFmtId="0" fontId="55" fillId="10" borderId="2" xfId="0" applyFont="1" applyFill="1" applyBorder="1" applyAlignment="1">
      <alignment horizontal="center"/>
    </xf>
    <xf numFmtId="0" fontId="55" fillId="10" borderId="10" xfId="0" applyFont="1" applyFill="1" applyBorder="1" applyAlignment="1">
      <alignment horizontal="center"/>
    </xf>
    <xf numFmtId="166" fontId="53" fillId="8" borderId="0" xfId="14" applyNumberFormat="1" applyFont="1" applyFill="1"/>
    <xf numFmtId="0" fontId="56" fillId="0" borderId="0" xfId="15"/>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0" fontId="0" fillId="0" borderId="0" xfId="0" applyFont="1"/>
    <xf numFmtId="0" fontId="0" fillId="0" borderId="0" xfId="0" applyFill="1"/>
    <xf numFmtId="0" fontId="43" fillId="8" borderId="0" xfId="0" applyFont="1" applyFill="1"/>
  </cellXfs>
  <cellStyles count="17">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 7" xfId="15" xr:uid="{CB0A8376-2852-4E86-9419-F2DF8FD23E2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 name="Pourcentage 4" xfId="16" xr:uid="{90B4C470-D3A5-491D-8FFB-D3A267802337}"/>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pt idx="12">
                  <c:v>45352</c:v>
                </c:pt>
                <c:pt idx="13">
                  <c:v>45383</c:v>
                </c:pt>
                <c:pt idx="14">
                  <c:v>45413</c:v>
                </c:pt>
                <c:pt idx="15">
                  <c:v>45444</c:v>
                </c:pt>
                <c:pt idx="16">
                  <c:v>45474</c:v>
                </c:pt>
                <c:pt idx="17">
                  <c:v>45505</c:v>
                </c:pt>
                <c:pt idx="18">
                  <c:v>45536</c:v>
                </c:pt>
                <c:pt idx="19">
                  <c:v>45566</c:v>
                </c:pt>
                <c:pt idx="20">
                  <c:v>45597</c:v>
                </c:pt>
                <c:pt idx="21">
                  <c:v>45627</c:v>
                </c:pt>
                <c:pt idx="22">
                  <c:v>45658</c:v>
                </c:pt>
                <c:pt idx="23">
                  <c:v>45689</c:v>
                </c:pt>
                <c:pt idx="24">
                  <c:v>45717</c:v>
                </c:pt>
                <c:pt idx="25">
                  <c:v>45748</c:v>
                </c:pt>
                <c:pt idx="26">
                  <c:v>45778</c:v>
                </c:pt>
                <c:pt idx="27">
                  <c:v>45809</c:v>
                </c:pt>
                <c:pt idx="28">
                  <c:v>45839</c:v>
                </c:pt>
                <c:pt idx="29">
                  <c:v>45870</c:v>
                </c:pt>
                <c:pt idx="30">
                  <c:v>45901</c:v>
                </c:pt>
                <c:pt idx="31">
                  <c:v>45931</c:v>
                </c:pt>
                <c:pt idx="32">
                  <c:v>45962</c:v>
                </c:pt>
                <c:pt idx="33">
                  <c:v>45992</c:v>
                </c:pt>
                <c:pt idx="34">
                  <c:v>46023</c:v>
                </c:pt>
                <c:pt idx="35">
                  <c:v>46054</c:v>
                </c:pt>
              </c:numCache>
            </c:numRef>
          </c:cat>
          <c:val>
            <c:numRef>
              <c:f>'DONNEES CUMULS DEPUIS JANVIER'!$B$16:$B$51</c:f>
              <c:numCache>
                <c:formatCode>General</c:formatCode>
                <c:ptCount val="36"/>
                <c:pt idx="0">
                  <c:v>128.9</c:v>
                </c:pt>
                <c:pt idx="1">
                  <c:v>129.4</c:v>
                </c:pt>
                <c:pt idx="2">
                  <c:v>128.9</c:v>
                </c:pt>
                <c:pt idx="3">
                  <c:v>128.30000000000001</c:v>
                </c:pt>
                <c:pt idx="4">
                  <c:v>128.6</c:v>
                </c:pt>
                <c:pt idx="5">
                  <c:v>129.19999999999999</c:v>
                </c:pt>
                <c:pt idx="6">
                  <c:v>130.80000000000001</c:v>
                </c:pt>
                <c:pt idx="7">
                  <c:v>130.69999999999999</c:v>
                </c:pt>
                <c:pt idx="8">
                  <c:v>130.30000000000001</c:v>
                </c:pt>
                <c:pt idx="9">
                  <c:v>129.6</c:v>
                </c:pt>
                <c:pt idx="10">
                  <c:v>129.6</c:v>
                </c:pt>
                <c:pt idx="11">
                  <c:v>129.9</c:v>
                </c:pt>
                <c:pt idx="12">
                  <c:v>130.1</c:v>
                </c:pt>
                <c:pt idx="13">
                  <c:v>130.30000000000001</c:v>
                </c:pt>
                <c:pt idx="14">
                  <c:v>130.1</c:v>
                </c:pt>
                <c:pt idx="15">
                  <c:v>129.80000000000001</c:v>
                </c:pt>
                <c:pt idx="16">
                  <c:v>129.9</c:v>
                </c:pt>
                <c:pt idx="17">
                  <c:v>130.1</c:v>
                </c:pt>
                <c:pt idx="18">
                  <c:v>129.1</c:v>
                </c:pt>
                <c:pt idx="19">
                  <c:v>128.80000000000001</c:v>
                </c:pt>
                <c:pt idx="20">
                  <c:v>130.19999999999999</c:v>
                </c:pt>
                <c:pt idx="21">
                  <c:v>130.6</c:v>
                </c:pt>
                <c:pt idx="22">
                  <c:v>131.9</c:v>
                </c:pt>
                <c:pt idx="23">
                  <c:v>132.19999999999999</c:v>
                </c:pt>
                <c:pt idx="24">
                  <c:v>131.69999999999999</c:v>
                </c:pt>
                <c:pt idx="25">
                  <c:v>131.4</c:v>
                </c:pt>
                <c:pt idx="26">
                  <c:v>130.69999999999999</c:v>
                </c:pt>
                <c:pt idx="27">
                  <c:v>130.5</c:v>
                </c:pt>
                <c:pt idx="28">
                  <c:v>131</c:v>
                </c:pt>
                <c:pt idx="29">
                  <c:v>131.4</c:v>
                </c:pt>
                <c:pt idx="30">
                  <c:v>130.69999999999999</c:v>
                </c:pt>
                <c:pt idx="31">
                  <c:v>130.5</c:v>
                </c:pt>
                <c:pt idx="32">
                  <c:v>130.80000000000001</c:v>
                </c:pt>
                <c:pt idx="33">
                  <c:v>130.30000000000001</c:v>
                </c:pt>
                <c:pt idx="34">
                  <c:v>131.4</c:v>
                </c:pt>
                <c:pt idx="35">
                  <c:v>132.19999999999999</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pt idx="12">
                  <c:v>45352</c:v>
                </c:pt>
                <c:pt idx="13">
                  <c:v>45383</c:v>
                </c:pt>
                <c:pt idx="14">
                  <c:v>45413</c:v>
                </c:pt>
                <c:pt idx="15">
                  <c:v>45444</c:v>
                </c:pt>
                <c:pt idx="16">
                  <c:v>45474</c:v>
                </c:pt>
                <c:pt idx="17">
                  <c:v>45505</c:v>
                </c:pt>
                <c:pt idx="18">
                  <c:v>45536</c:v>
                </c:pt>
                <c:pt idx="19">
                  <c:v>45566</c:v>
                </c:pt>
                <c:pt idx="20">
                  <c:v>45597</c:v>
                </c:pt>
                <c:pt idx="21">
                  <c:v>45627</c:v>
                </c:pt>
                <c:pt idx="22">
                  <c:v>45658</c:v>
                </c:pt>
                <c:pt idx="23">
                  <c:v>45689</c:v>
                </c:pt>
                <c:pt idx="24">
                  <c:v>45717</c:v>
                </c:pt>
                <c:pt idx="25">
                  <c:v>45748</c:v>
                </c:pt>
                <c:pt idx="26">
                  <c:v>45778</c:v>
                </c:pt>
                <c:pt idx="27">
                  <c:v>45809</c:v>
                </c:pt>
                <c:pt idx="28">
                  <c:v>45839</c:v>
                </c:pt>
                <c:pt idx="29">
                  <c:v>45870</c:v>
                </c:pt>
                <c:pt idx="30">
                  <c:v>45901</c:v>
                </c:pt>
                <c:pt idx="31">
                  <c:v>45931</c:v>
                </c:pt>
                <c:pt idx="32">
                  <c:v>45962</c:v>
                </c:pt>
                <c:pt idx="33">
                  <c:v>45992</c:v>
                </c:pt>
                <c:pt idx="34">
                  <c:v>46023</c:v>
                </c:pt>
                <c:pt idx="35">
                  <c:v>46054</c:v>
                </c:pt>
              </c:numCache>
            </c:numRef>
          </c:cat>
          <c:val>
            <c:numRef>
              <c:f>'DONNEES CUMULS DEPUIS JANVIER'!$C$16:$C$51</c:f>
              <c:numCache>
                <c:formatCode>General</c:formatCode>
                <c:ptCount val="36"/>
                <c:pt idx="0">
                  <c:v>135.30000000000001</c:v>
                </c:pt>
                <c:pt idx="1">
                  <c:v>135.69999999999999</c:v>
                </c:pt>
                <c:pt idx="2">
                  <c:v>133.19999999999999</c:v>
                </c:pt>
                <c:pt idx="3">
                  <c:v>132.19999999999999</c:v>
                </c:pt>
                <c:pt idx="4">
                  <c:v>131.1</c:v>
                </c:pt>
                <c:pt idx="5">
                  <c:v>131.5</c:v>
                </c:pt>
                <c:pt idx="6">
                  <c:v>131.30000000000001</c:v>
                </c:pt>
                <c:pt idx="7">
                  <c:v>131.6</c:v>
                </c:pt>
                <c:pt idx="8">
                  <c:v>132.6</c:v>
                </c:pt>
                <c:pt idx="9">
                  <c:v>133.69999999999999</c:v>
                </c:pt>
                <c:pt idx="10">
                  <c:v>134</c:v>
                </c:pt>
                <c:pt idx="11">
                  <c:v>133.6</c:v>
                </c:pt>
                <c:pt idx="12">
                  <c:v>133.80000000000001</c:v>
                </c:pt>
                <c:pt idx="13">
                  <c:v>133.4</c:v>
                </c:pt>
                <c:pt idx="14">
                  <c:v>132.5</c:v>
                </c:pt>
                <c:pt idx="15">
                  <c:v>132.1</c:v>
                </c:pt>
                <c:pt idx="16">
                  <c:v>132.30000000000001</c:v>
                </c:pt>
                <c:pt idx="17">
                  <c:v>132.80000000000001</c:v>
                </c:pt>
                <c:pt idx="18">
                  <c:v>133</c:v>
                </c:pt>
                <c:pt idx="19">
                  <c:v>133.1</c:v>
                </c:pt>
                <c:pt idx="20">
                  <c:v>133.6</c:v>
                </c:pt>
                <c:pt idx="21">
                  <c:v>134.19999999999999</c:v>
                </c:pt>
                <c:pt idx="22">
                  <c:v>135.1</c:v>
                </c:pt>
                <c:pt idx="23">
                  <c:v>135</c:v>
                </c:pt>
                <c:pt idx="24">
                  <c:v>135</c:v>
                </c:pt>
                <c:pt idx="25">
                  <c:v>135.5</c:v>
                </c:pt>
                <c:pt idx="26">
                  <c:v>135.30000000000001</c:v>
                </c:pt>
                <c:pt idx="27">
                  <c:v>135</c:v>
                </c:pt>
                <c:pt idx="28">
                  <c:v>135.19999999999999</c:v>
                </c:pt>
                <c:pt idx="29">
                  <c:v>136.1</c:v>
                </c:pt>
                <c:pt idx="30">
                  <c:v>135.69999999999999</c:v>
                </c:pt>
                <c:pt idx="31">
                  <c:v>135.69999999999999</c:v>
                </c:pt>
                <c:pt idx="32">
                  <c:v>135.80000000000001</c:v>
                </c:pt>
                <c:pt idx="33">
                  <c:v>136.1</c:v>
                </c:pt>
                <c:pt idx="34">
                  <c:v>137.5</c:v>
                </c:pt>
                <c:pt idx="35">
                  <c:v>137.5</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numCache>
            </c:numRef>
          </c:cat>
          <c:val>
            <c:numRef>
              <c:f>'DONNEES 3-6 MOIS'!$D$16:$D$27</c:f>
              <c:numCache>
                <c:formatCode>General</c:formatCode>
                <c:ptCount val="12"/>
                <c:pt idx="0">
                  <c:v>124.5</c:v>
                </c:pt>
                <c:pt idx="1">
                  <c:v>126.2</c:v>
                </c:pt>
                <c:pt idx="2">
                  <c:v>126.4</c:v>
                </c:pt>
                <c:pt idx="3">
                  <c:v>126</c:v>
                </c:pt>
                <c:pt idx="4">
                  <c:v>125.5</c:v>
                </c:pt>
                <c:pt idx="5">
                  <c:v>128.4</c:v>
                </c:pt>
                <c:pt idx="6">
                  <c:v>126.8</c:v>
                </c:pt>
                <c:pt idx="7">
                  <c:v>126.7</c:v>
                </c:pt>
                <c:pt idx="8">
                  <c:v>126.2</c:v>
                </c:pt>
                <c:pt idx="9">
                  <c:v>125.5</c:v>
                </c:pt>
                <c:pt idx="10">
                  <c:v>127.6</c:v>
                </c:pt>
                <c:pt idx="11">
                  <c:v>125.6</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numCache>
            </c:numRef>
          </c:cat>
          <c:val>
            <c:numRef>
              <c:f>'DONNEES 3-6 MOIS'!$E$16:$E$27</c:f>
              <c:numCache>
                <c:formatCode>General</c:formatCode>
                <c:ptCount val="12"/>
                <c:pt idx="0">
                  <c:v>137.6</c:v>
                </c:pt>
                <c:pt idx="1">
                  <c:v>138</c:v>
                </c:pt>
                <c:pt idx="2">
                  <c:v>138.4</c:v>
                </c:pt>
                <c:pt idx="3">
                  <c:v>138.69999999999999</c:v>
                </c:pt>
                <c:pt idx="4">
                  <c:v>139</c:v>
                </c:pt>
                <c:pt idx="5">
                  <c:v>139.30000000000001</c:v>
                </c:pt>
                <c:pt idx="6">
                  <c:v>139.69999999999999</c:v>
                </c:pt>
                <c:pt idx="7">
                  <c:v>140.4</c:v>
                </c:pt>
                <c:pt idx="8">
                  <c:v>141.1</c:v>
                </c:pt>
                <c:pt idx="9">
                  <c:v>141.80000000000001</c:v>
                </c:pt>
                <c:pt idx="10">
                  <c:v>141.80000000000001</c:v>
                </c:pt>
                <c:pt idx="11">
                  <c:v>141.80000000000001</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numCache>
            </c:numRef>
          </c:cat>
          <c:val>
            <c:numRef>
              <c:f>'DONNEES 3-6 MOIS'!$F$16:$F$27</c:f>
              <c:numCache>
                <c:formatCode>General</c:formatCode>
                <c:ptCount val="12"/>
                <c:pt idx="0">
                  <c:v>145.69999999999999</c:v>
                </c:pt>
                <c:pt idx="1">
                  <c:v>141</c:v>
                </c:pt>
                <c:pt idx="2">
                  <c:v>140</c:v>
                </c:pt>
                <c:pt idx="3">
                  <c:v>143.9</c:v>
                </c:pt>
                <c:pt idx="4">
                  <c:v>147.30000000000001</c:v>
                </c:pt>
                <c:pt idx="5">
                  <c:v>143.30000000000001</c:v>
                </c:pt>
                <c:pt idx="6">
                  <c:v>145.1</c:v>
                </c:pt>
                <c:pt idx="7">
                  <c:v>143.4</c:v>
                </c:pt>
                <c:pt idx="8">
                  <c:v>149.6</c:v>
                </c:pt>
                <c:pt idx="9">
                  <c:v>141.30000000000001</c:v>
                </c:pt>
                <c:pt idx="10">
                  <c:v>150.1</c:v>
                </c:pt>
                <c:pt idx="11">
                  <c:v>157.19999999999999</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-0,3%</c:v>
                </c:pt>
                <c:pt idx="1">
                  <c:v>+1,0%</c:v>
                </c:pt>
                <c:pt idx="2">
                  <c:v>+2,4%</c:v>
                </c:pt>
                <c:pt idx="3">
                  <c:v>+0,7%</c:v>
                </c:pt>
                <c:pt idx="4">
                  <c:v>+0,3%</c:v>
                </c:pt>
                <c:pt idx="5">
                  <c:v>+0,2%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-2.6336581511720025E-3</c:v>
                </c:pt>
                <c:pt idx="1">
                  <c:v>9.9715099715098621E-3</c:v>
                </c:pt>
                <c:pt idx="2">
                  <c:v>2.3967130792056368E-2</c:v>
                </c:pt>
                <c:pt idx="3">
                  <c:v>6.8515931617108006E-3</c:v>
                </c:pt>
                <c:pt idx="4">
                  <c:v>3.0916245081504812E-3</c:v>
                </c:pt>
                <c:pt idx="5">
                  <c:v>1.8612071257644303E-3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numCache>
            </c:numRef>
          </c:cat>
          <c:val>
            <c:numRef>
              <c:f>'DONNEES 3-6 MOIS'!$H$16:$H$27</c:f>
              <c:numCache>
                <c:formatCode>General</c:formatCode>
                <c:ptCount val="12"/>
                <c:pt idx="0">
                  <c:v>88.3</c:v>
                </c:pt>
                <c:pt idx="1">
                  <c:v>89.1</c:v>
                </c:pt>
                <c:pt idx="2">
                  <c:v>89.6</c:v>
                </c:pt>
                <c:pt idx="3">
                  <c:v>89.4</c:v>
                </c:pt>
                <c:pt idx="4">
                  <c:v>88.6</c:v>
                </c:pt>
                <c:pt idx="5">
                  <c:v>87.8</c:v>
                </c:pt>
                <c:pt idx="6">
                  <c:v>87.7</c:v>
                </c:pt>
                <c:pt idx="7">
                  <c:v>86.4</c:v>
                </c:pt>
                <c:pt idx="8">
                  <c:v>85.7</c:v>
                </c:pt>
                <c:pt idx="9">
                  <c:v>85.6</c:v>
                </c:pt>
                <c:pt idx="10">
                  <c:v>85.5</c:v>
                </c:pt>
                <c:pt idx="11">
                  <c:v>86.1</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numCache>
            </c:numRef>
          </c:cat>
          <c:val>
            <c:numRef>
              <c:f>'DONNEES 3-6 MOIS'!$G$16:$G$51</c:f>
              <c:numCache>
                <c:formatCode>General</c:formatCode>
                <c:ptCount val="36"/>
                <c:pt idx="0">
                  <c:v>130.1</c:v>
                </c:pt>
                <c:pt idx="1">
                  <c:v>131.5</c:v>
                </c:pt>
                <c:pt idx="2">
                  <c:v>131.69999999999999</c:v>
                </c:pt>
                <c:pt idx="3">
                  <c:v>130.69999999999999</c:v>
                </c:pt>
                <c:pt idx="4">
                  <c:v>131.30000000000001</c:v>
                </c:pt>
                <c:pt idx="5">
                  <c:v>132.69999999999999</c:v>
                </c:pt>
                <c:pt idx="6">
                  <c:v>131.30000000000001</c:v>
                </c:pt>
                <c:pt idx="7">
                  <c:v>131.69999999999999</c:v>
                </c:pt>
                <c:pt idx="8">
                  <c:v>131.6</c:v>
                </c:pt>
                <c:pt idx="9">
                  <c:v>131.1</c:v>
                </c:pt>
                <c:pt idx="10">
                  <c:v>133.80000000000001</c:v>
                </c:pt>
                <c:pt idx="11">
                  <c:v>133.19999999999999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numRef>
              <c:f>'DONNEES DATE A DATE'!$A$16:$A$113</c:f>
              <c:numCache>
                <c:formatCode>[$-40C]mmm\-yy;@</c:formatCode>
                <c:ptCount val="9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numCache>
            </c:numRef>
          </c:cat>
          <c:val>
            <c:numRef>
              <c:f>'DONNEES DATE A DATE'!$B$16:$B$113</c:f>
              <c:numCache>
                <c:formatCode>0.0</c:formatCode>
                <c:ptCount val="98"/>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130.5</c:v>
                </c:pt>
                <c:pt idx="94">
                  <c:v>130.80000000000001</c:v>
                </c:pt>
                <c:pt idx="95">
                  <c:v>130.30000000000001</c:v>
                </c:pt>
                <c:pt idx="96">
                  <c:v>131.4</c:v>
                </c:pt>
                <c:pt idx="97">
                  <c:v>132.19999999999999</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numRef>
              <c:f>'DONNEES DATE A DATE'!$A$16:$A$113</c:f>
              <c:numCache>
                <c:formatCode>[$-40C]mmm\-yy;@</c:formatCode>
                <c:ptCount val="9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numCache>
            </c:numRef>
          </c:cat>
          <c:val>
            <c:numRef>
              <c:f>'DONNEES DATE A DATE'!$C$16:$C$113</c:f>
              <c:numCache>
                <c:formatCode>0.0</c:formatCode>
                <c:ptCount val="98"/>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135.69999999999999</c:v>
                </c:pt>
                <c:pt idx="94">
                  <c:v>135.80000000000001</c:v>
                </c:pt>
                <c:pt idx="95">
                  <c:v>136.1</c:v>
                </c:pt>
                <c:pt idx="96">
                  <c:v>137.5</c:v>
                </c:pt>
                <c:pt idx="97">
                  <c:v>137.5</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DATE'!$D$16:$D$112</c:f>
              <c:numCache>
                <c:formatCode>0.0</c:formatCode>
                <c:ptCount val="9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126.7</c:v>
                </c:pt>
                <c:pt idx="94">
                  <c:v>126.2</c:v>
                </c:pt>
                <c:pt idx="95">
                  <c:v>125.5</c:v>
                </c:pt>
                <c:pt idx="96">
                  <c:v>127.6</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max val="46054"/>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DATE'!$E$16:$E$112</c:f>
              <c:numCache>
                <c:formatCode>0.0</c:formatCode>
                <c:ptCount val="9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139</c:v>
                </c:pt>
                <c:pt idx="91">
                  <c:v>139.30000000000001</c:v>
                </c:pt>
                <c:pt idx="92">
                  <c:v>139.69999999999999</c:v>
                </c:pt>
                <c:pt idx="93">
                  <c:v>140.4</c:v>
                </c:pt>
                <c:pt idx="94">
                  <c:v>141.1</c:v>
                </c:pt>
                <c:pt idx="95">
                  <c:v>141.80000000000001</c:v>
                </c:pt>
                <c:pt idx="96">
                  <c:v>141.80000000000001</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max val="46054"/>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DATE'!$F$16:$F$112</c:f>
              <c:numCache>
                <c:formatCode>0.0</c:formatCode>
                <c:ptCount val="97"/>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143.4</c:v>
                </c:pt>
                <c:pt idx="94">
                  <c:v>149.6</c:v>
                </c:pt>
                <c:pt idx="95">
                  <c:v>141.30000000000001</c:v>
                </c:pt>
                <c:pt idx="96">
                  <c:v>150.1</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max val="46054"/>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févr. 2026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0.20653218059558109</c:v>
                </c:pt>
                <c:pt idx="1">
                  <c:v>0.20373514431239403</c:v>
                </c:pt>
                <c:pt idx="2">
                  <c:v>0.53084779348803579</c:v>
                </c:pt>
                <c:pt idx="3">
                  <c:v>0.19216138328530263</c:v>
                </c:pt>
                <c:pt idx="4">
                  <c:v>0.174384236453202</c:v>
                </c:pt>
                <c:pt idx="5">
                  <c:v>0.19635099913119025</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DATE'!$H$16:$H$112</c:f>
              <c:numCache>
                <c:formatCode>0.0</c:formatCode>
                <c:ptCount val="97"/>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87.7</c:v>
                </c:pt>
                <c:pt idx="93">
                  <c:v>86.4</c:v>
                </c:pt>
                <c:pt idx="94">
                  <c:v>85.7</c:v>
                </c:pt>
                <c:pt idx="95">
                  <c:v>85.6</c:v>
                </c:pt>
                <c:pt idx="96">
                  <c:v>85.5</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max val="46054"/>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DATE'!$G$16:$G$112</c:f>
              <c:numCache>
                <c:formatCode>0.0</c:formatCode>
                <c:ptCount val="97"/>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131.30000000000001</c:v>
                </c:pt>
                <c:pt idx="93">
                  <c:v>131.69999999999999</c:v>
                </c:pt>
                <c:pt idx="94">
                  <c:v>131.6</c:v>
                </c:pt>
                <c:pt idx="95">
                  <c:v>131.1</c:v>
                </c:pt>
                <c:pt idx="96">
                  <c:v>133.80000000000001</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max val="46054"/>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pt idx="12">
                  <c:v>45352</c:v>
                </c:pt>
                <c:pt idx="13">
                  <c:v>45383</c:v>
                </c:pt>
                <c:pt idx="14">
                  <c:v>45413</c:v>
                </c:pt>
                <c:pt idx="15">
                  <c:v>45444</c:v>
                </c:pt>
                <c:pt idx="16">
                  <c:v>45474</c:v>
                </c:pt>
                <c:pt idx="17">
                  <c:v>45505</c:v>
                </c:pt>
                <c:pt idx="18">
                  <c:v>45536</c:v>
                </c:pt>
                <c:pt idx="19">
                  <c:v>45566</c:v>
                </c:pt>
                <c:pt idx="20">
                  <c:v>45597</c:v>
                </c:pt>
                <c:pt idx="21">
                  <c:v>45627</c:v>
                </c:pt>
                <c:pt idx="22">
                  <c:v>45658</c:v>
                </c:pt>
                <c:pt idx="23">
                  <c:v>45689</c:v>
                </c:pt>
                <c:pt idx="24">
                  <c:v>45717</c:v>
                </c:pt>
                <c:pt idx="25">
                  <c:v>45748</c:v>
                </c:pt>
                <c:pt idx="26">
                  <c:v>45778</c:v>
                </c:pt>
                <c:pt idx="27">
                  <c:v>45809</c:v>
                </c:pt>
                <c:pt idx="28">
                  <c:v>45839</c:v>
                </c:pt>
                <c:pt idx="29">
                  <c:v>45870</c:v>
                </c:pt>
                <c:pt idx="30">
                  <c:v>45901</c:v>
                </c:pt>
                <c:pt idx="31">
                  <c:v>45931</c:v>
                </c:pt>
                <c:pt idx="32">
                  <c:v>45962</c:v>
                </c:pt>
                <c:pt idx="33">
                  <c:v>45992</c:v>
                </c:pt>
                <c:pt idx="34">
                  <c:v>46023</c:v>
                </c:pt>
                <c:pt idx="35">
                  <c:v>46054</c:v>
                </c:pt>
              </c:numCache>
            </c:numRef>
          </c:cat>
          <c:val>
            <c:numRef>
              <c:f>'DONNEES CUMULS DEPUIS JANVIER'!$D$16:$D$51</c:f>
              <c:numCache>
                <c:formatCode>General</c:formatCode>
                <c:ptCount val="36"/>
                <c:pt idx="0">
                  <c:v>119.4</c:v>
                </c:pt>
                <c:pt idx="1">
                  <c:v>122.6</c:v>
                </c:pt>
                <c:pt idx="2">
                  <c:v>122.2</c:v>
                </c:pt>
                <c:pt idx="3">
                  <c:v>122.3</c:v>
                </c:pt>
                <c:pt idx="4">
                  <c:v>122.9</c:v>
                </c:pt>
                <c:pt idx="5">
                  <c:v>122.8</c:v>
                </c:pt>
                <c:pt idx="6">
                  <c:v>123.5</c:v>
                </c:pt>
                <c:pt idx="7">
                  <c:v>123.3</c:v>
                </c:pt>
                <c:pt idx="8">
                  <c:v>123</c:v>
                </c:pt>
                <c:pt idx="9">
                  <c:v>124.2</c:v>
                </c:pt>
                <c:pt idx="10">
                  <c:v>124</c:v>
                </c:pt>
                <c:pt idx="11">
                  <c:v>124.1</c:v>
                </c:pt>
                <c:pt idx="12">
                  <c:v>124.5</c:v>
                </c:pt>
                <c:pt idx="13">
                  <c:v>125</c:v>
                </c:pt>
                <c:pt idx="14">
                  <c:v>124.9</c:v>
                </c:pt>
                <c:pt idx="15">
                  <c:v>125</c:v>
                </c:pt>
                <c:pt idx="16">
                  <c:v>125</c:v>
                </c:pt>
                <c:pt idx="17">
                  <c:v>125.4</c:v>
                </c:pt>
                <c:pt idx="18">
                  <c:v>125.3</c:v>
                </c:pt>
                <c:pt idx="19">
                  <c:v>125</c:v>
                </c:pt>
                <c:pt idx="20">
                  <c:v>124.8</c:v>
                </c:pt>
                <c:pt idx="21">
                  <c:v>124.9</c:v>
                </c:pt>
                <c:pt idx="22">
                  <c:v>124.3</c:v>
                </c:pt>
                <c:pt idx="23">
                  <c:v>124.8</c:v>
                </c:pt>
                <c:pt idx="24">
                  <c:v>124.5</c:v>
                </c:pt>
                <c:pt idx="25">
                  <c:v>126.2</c:v>
                </c:pt>
                <c:pt idx="26">
                  <c:v>126.4</c:v>
                </c:pt>
                <c:pt idx="27">
                  <c:v>126</c:v>
                </c:pt>
                <c:pt idx="28">
                  <c:v>125.5</c:v>
                </c:pt>
                <c:pt idx="29">
                  <c:v>128.4</c:v>
                </c:pt>
                <c:pt idx="30">
                  <c:v>126.8</c:v>
                </c:pt>
                <c:pt idx="31">
                  <c:v>126.7</c:v>
                </c:pt>
                <c:pt idx="32">
                  <c:v>126.2</c:v>
                </c:pt>
                <c:pt idx="33">
                  <c:v>125.5</c:v>
                </c:pt>
                <c:pt idx="34">
                  <c:v>127.6</c:v>
                </c:pt>
                <c:pt idx="35">
                  <c:v>125.6</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pt idx="12">
                  <c:v>45352</c:v>
                </c:pt>
                <c:pt idx="13">
                  <c:v>45383</c:v>
                </c:pt>
                <c:pt idx="14">
                  <c:v>45413</c:v>
                </c:pt>
                <c:pt idx="15">
                  <c:v>45444</c:v>
                </c:pt>
                <c:pt idx="16">
                  <c:v>45474</c:v>
                </c:pt>
                <c:pt idx="17">
                  <c:v>45505</c:v>
                </c:pt>
                <c:pt idx="18">
                  <c:v>45536</c:v>
                </c:pt>
                <c:pt idx="19">
                  <c:v>45566</c:v>
                </c:pt>
                <c:pt idx="20">
                  <c:v>45597</c:v>
                </c:pt>
                <c:pt idx="21">
                  <c:v>45627</c:v>
                </c:pt>
                <c:pt idx="22">
                  <c:v>45658</c:v>
                </c:pt>
                <c:pt idx="23">
                  <c:v>45689</c:v>
                </c:pt>
                <c:pt idx="24">
                  <c:v>45717</c:v>
                </c:pt>
                <c:pt idx="25">
                  <c:v>45748</c:v>
                </c:pt>
                <c:pt idx="26">
                  <c:v>45778</c:v>
                </c:pt>
                <c:pt idx="27">
                  <c:v>45809</c:v>
                </c:pt>
                <c:pt idx="28">
                  <c:v>45839</c:v>
                </c:pt>
                <c:pt idx="29">
                  <c:v>45870</c:v>
                </c:pt>
                <c:pt idx="30">
                  <c:v>45901</c:v>
                </c:pt>
                <c:pt idx="31">
                  <c:v>45931</c:v>
                </c:pt>
                <c:pt idx="32">
                  <c:v>45962</c:v>
                </c:pt>
                <c:pt idx="33">
                  <c:v>45992</c:v>
                </c:pt>
                <c:pt idx="34">
                  <c:v>46023</c:v>
                </c:pt>
                <c:pt idx="35">
                  <c:v>46054</c:v>
                </c:pt>
              </c:numCache>
            </c:numRef>
          </c:cat>
          <c:val>
            <c:numRef>
              <c:f>'DONNEES CUMULS DEPUIS JANVIER'!$E$16:$E$51</c:f>
              <c:numCache>
                <c:formatCode>General</c:formatCode>
                <c:ptCount val="36"/>
                <c:pt idx="0">
                  <c:v>130</c:v>
                </c:pt>
                <c:pt idx="1">
                  <c:v>130.4</c:v>
                </c:pt>
                <c:pt idx="2">
                  <c:v>130.9</c:v>
                </c:pt>
                <c:pt idx="3">
                  <c:v>131.4</c:v>
                </c:pt>
                <c:pt idx="4">
                  <c:v>131.5</c:v>
                </c:pt>
                <c:pt idx="5">
                  <c:v>131.6</c:v>
                </c:pt>
                <c:pt idx="6">
                  <c:v>131.69999999999999</c:v>
                </c:pt>
                <c:pt idx="7">
                  <c:v>131.9</c:v>
                </c:pt>
                <c:pt idx="8">
                  <c:v>132.1</c:v>
                </c:pt>
                <c:pt idx="9">
                  <c:v>132.30000000000001</c:v>
                </c:pt>
                <c:pt idx="10">
                  <c:v>132.5</c:v>
                </c:pt>
                <c:pt idx="11">
                  <c:v>132.69999999999999</c:v>
                </c:pt>
                <c:pt idx="12">
                  <c:v>132.9</c:v>
                </c:pt>
                <c:pt idx="13">
                  <c:v>133.30000000000001</c:v>
                </c:pt>
                <c:pt idx="14">
                  <c:v>133.69999999999999</c:v>
                </c:pt>
                <c:pt idx="15">
                  <c:v>134</c:v>
                </c:pt>
                <c:pt idx="16">
                  <c:v>134.6</c:v>
                </c:pt>
                <c:pt idx="17">
                  <c:v>135.1</c:v>
                </c:pt>
                <c:pt idx="18">
                  <c:v>135.69999999999999</c:v>
                </c:pt>
                <c:pt idx="19">
                  <c:v>136.1</c:v>
                </c:pt>
                <c:pt idx="20">
                  <c:v>136.5</c:v>
                </c:pt>
                <c:pt idx="21">
                  <c:v>136.9</c:v>
                </c:pt>
                <c:pt idx="22">
                  <c:v>137.19999999999999</c:v>
                </c:pt>
                <c:pt idx="23">
                  <c:v>137.4</c:v>
                </c:pt>
                <c:pt idx="24">
                  <c:v>137.6</c:v>
                </c:pt>
                <c:pt idx="25">
                  <c:v>138</c:v>
                </c:pt>
                <c:pt idx="26">
                  <c:v>138.4</c:v>
                </c:pt>
                <c:pt idx="27">
                  <c:v>138.69999999999999</c:v>
                </c:pt>
                <c:pt idx="28">
                  <c:v>139</c:v>
                </c:pt>
                <c:pt idx="29">
                  <c:v>139.30000000000001</c:v>
                </c:pt>
                <c:pt idx="30">
                  <c:v>139.69999999999999</c:v>
                </c:pt>
                <c:pt idx="31">
                  <c:v>140.4</c:v>
                </c:pt>
                <c:pt idx="32">
                  <c:v>141.1</c:v>
                </c:pt>
                <c:pt idx="33">
                  <c:v>141.80000000000001</c:v>
                </c:pt>
                <c:pt idx="34">
                  <c:v>141.80000000000001</c:v>
                </c:pt>
                <c:pt idx="35">
                  <c:v>141.80000000000001</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pt idx="12">
                  <c:v>45352</c:v>
                </c:pt>
                <c:pt idx="13">
                  <c:v>45383</c:v>
                </c:pt>
                <c:pt idx="14">
                  <c:v>45413</c:v>
                </c:pt>
                <c:pt idx="15">
                  <c:v>45444</c:v>
                </c:pt>
                <c:pt idx="16">
                  <c:v>45474</c:v>
                </c:pt>
                <c:pt idx="17">
                  <c:v>45505</c:v>
                </c:pt>
                <c:pt idx="18">
                  <c:v>45536</c:v>
                </c:pt>
                <c:pt idx="19">
                  <c:v>45566</c:v>
                </c:pt>
                <c:pt idx="20">
                  <c:v>45597</c:v>
                </c:pt>
                <c:pt idx="21">
                  <c:v>45627</c:v>
                </c:pt>
                <c:pt idx="22">
                  <c:v>45658</c:v>
                </c:pt>
                <c:pt idx="23">
                  <c:v>45689</c:v>
                </c:pt>
                <c:pt idx="24">
                  <c:v>45717</c:v>
                </c:pt>
                <c:pt idx="25">
                  <c:v>45748</c:v>
                </c:pt>
                <c:pt idx="26">
                  <c:v>45778</c:v>
                </c:pt>
                <c:pt idx="27">
                  <c:v>45809</c:v>
                </c:pt>
                <c:pt idx="28">
                  <c:v>45839</c:v>
                </c:pt>
                <c:pt idx="29">
                  <c:v>45870</c:v>
                </c:pt>
                <c:pt idx="30">
                  <c:v>45901</c:v>
                </c:pt>
                <c:pt idx="31">
                  <c:v>45931</c:v>
                </c:pt>
                <c:pt idx="32">
                  <c:v>45962</c:v>
                </c:pt>
                <c:pt idx="33">
                  <c:v>45992</c:v>
                </c:pt>
                <c:pt idx="34">
                  <c:v>46023</c:v>
                </c:pt>
                <c:pt idx="35">
                  <c:v>46054</c:v>
                </c:pt>
              </c:numCache>
            </c:numRef>
          </c:cat>
          <c:val>
            <c:numRef>
              <c:f>'DONNEES CUMULS DEPUIS JANVIER'!$F$16:$F$51</c:f>
              <c:numCache>
                <c:formatCode>General</c:formatCode>
                <c:ptCount val="36"/>
                <c:pt idx="0">
                  <c:v>138.6</c:v>
                </c:pt>
                <c:pt idx="1">
                  <c:v>130.80000000000001</c:v>
                </c:pt>
                <c:pt idx="2">
                  <c:v>122.4</c:v>
                </c:pt>
                <c:pt idx="3">
                  <c:v>124.3</c:v>
                </c:pt>
                <c:pt idx="4">
                  <c:v>129.1</c:v>
                </c:pt>
                <c:pt idx="5">
                  <c:v>143.19999999999999</c:v>
                </c:pt>
                <c:pt idx="6">
                  <c:v>151.1</c:v>
                </c:pt>
                <c:pt idx="7">
                  <c:v>146.5</c:v>
                </c:pt>
                <c:pt idx="8">
                  <c:v>139.4</c:v>
                </c:pt>
                <c:pt idx="9">
                  <c:v>132</c:v>
                </c:pt>
                <c:pt idx="10">
                  <c:v>146.30000000000001</c:v>
                </c:pt>
                <c:pt idx="11">
                  <c:v>152.9</c:v>
                </c:pt>
                <c:pt idx="12">
                  <c:v>149.80000000000001</c:v>
                </c:pt>
                <c:pt idx="13">
                  <c:v>147.9</c:v>
                </c:pt>
                <c:pt idx="14">
                  <c:v>141.19999999999999</c:v>
                </c:pt>
                <c:pt idx="15">
                  <c:v>142.19999999999999</c:v>
                </c:pt>
                <c:pt idx="16">
                  <c:v>140</c:v>
                </c:pt>
                <c:pt idx="17">
                  <c:v>131.69999999999999</c:v>
                </c:pt>
                <c:pt idx="18">
                  <c:v>129.1</c:v>
                </c:pt>
                <c:pt idx="19">
                  <c:v>132.19999999999999</c:v>
                </c:pt>
                <c:pt idx="20">
                  <c:v>133.80000000000001</c:v>
                </c:pt>
                <c:pt idx="21">
                  <c:v>135.5</c:v>
                </c:pt>
                <c:pt idx="22">
                  <c:v>157.1</c:v>
                </c:pt>
                <c:pt idx="23">
                  <c:v>155.6</c:v>
                </c:pt>
                <c:pt idx="24">
                  <c:v>145.69999999999999</c:v>
                </c:pt>
                <c:pt idx="25">
                  <c:v>141</c:v>
                </c:pt>
                <c:pt idx="26">
                  <c:v>140</c:v>
                </c:pt>
                <c:pt idx="27">
                  <c:v>143.9</c:v>
                </c:pt>
                <c:pt idx="28">
                  <c:v>147.30000000000001</c:v>
                </c:pt>
                <c:pt idx="29">
                  <c:v>143.30000000000001</c:v>
                </c:pt>
                <c:pt idx="30">
                  <c:v>145.1</c:v>
                </c:pt>
                <c:pt idx="31">
                  <c:v>143.4</c:v>
                </c:pt>
                <c:pt idx="32">
                  <c:v>149.6</c:v>
                </c:pt>
                <c:pt idx="33">
                  <c:v>141.30000000000001</c:v>
                </c:pt>
                <c:pt idx="34">
                  <c:v>150.1</c:v>
                </c:pt>
                <c:pt idx="35">
                  <c:v>157.19999999999999</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+1,6%</c:v>
                </c:pt>
                <c:pt idx="1">
                  <c:v>+3,3%</c:v>
                </c:pt>
                <c:pt idx="2">
                  <c:v>-1,7%</c:v>
                </c:pt>
                <c:pt idx="3">
                  <c:v>-2,4%</c:v>
                </c:pt>
                <c:pt idx="4">
                  <c:v>+0,2%</c:v>
                </c:pt>
                <c:pt idx="5">
                  <c:v>+1,8%</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1.6459253311922994E-2</c:v>
                </c:pt>
                <c:pt idx="1">
                  <c:v>3.2774945375090958E-2</c:v>
                </c:pt>
                <c:pt idx="2">
                  <c:v>-1.7268947873361196E-2</c:v>
                </c:pt>
                <c:pt idx="3">
                  <c:v>-2.3978982565082463E-2</c:v>
                </c:pt>
                <c:pt idx="4">
                  <c:v>1.6891891891890332E-3</c:v>
                </c:pt>
                <c:pt idx="5">
                  <c:v>1.7813765182186359E-2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pt idx="12">
                  <c:v>45352</c:v>
                </c:pt>
                <c:pt idx="13">
                  <c:v>45383</c:v>
                </c:pt>
                <c:pt idx="14">
                  <c:v>45413</c:v>
                </c:pt>
                <c:pt idx="15">
                  <c:v>45444</c:v>
                </c:pt>
                <c:pt idx="16">
                  <c:v>45474</c:v>
                </c:pt>
                <c:pt idx="17">
                  <c:v>45505</c:v>
                </c:pt>
                <c:pt idx="18">
                  <c:v>45536</c:v>
                </c:pt>
                <c:pt idx="19">
                  <c:v>45566</c:v>
                </c:pt>
                <c:pt idx="20">
                  <c:v>45597</c:v>
                </c:pt>
                <c:pt idx="21">
                  <c:v>45627</c:v>
                </c:pt>
                <c:pt idx="22">
                  <c:v>45658</c:v>
                </c:pt>
                <c:pt idx="23">
                  <c:v>45689</c:v>
                </c:pt>
                <c:pt idx="24">
                  <c:v>45717</c:v>
                </c:pt>
                <c:pt idx="25">
                  <c:v>45748</c:v>
                </c:pt>
                <c:pt idx="26">
                  <c:v>45778</c:v>
                </c:pt>
                <c:pt idx="27">
                  <c:v>45809</c:v>
                </c:pt>
                <c:pt idx="28">
                  <c:v>45839</c:v>
                </c:pt>
                <c:pt idx="29">
                  <c:v>45870</c:v>
                </c:pt>
                <c:pt idx="30">
                  <c:v>45901</c:v>
                </c:pt>
                <c:pt idx="31">
                  <c:v>45931</c:v>
                </c:pt>
                <c:pt idx="32">
                  <c:v>45962</c:v>
                </c:pt>
                <c:pt idx="33">
                  <c:v>45992</c:v>
                </c:pt>
                <c:pt idx="34">
                  <c:v>46023</c:v>
                </c:pt>
                <c:pt idx="35">
                  <c:v>46054</c:v>
                </c:pt>
              </c:numCache>
            </c:numRef>
          </c:cat>
          <c:val>
            <c:numRef>
              <c:f>'DONNEES CUMULS DEPUIS JANVIER'!$H$16:$H$51</c:f>
              <c:numCache>
                <c:formatCode>General</c:formatCode>
                <c:ptCount val="36"/>
                <c:pt idx="0">
                  <c:v>101.78371696002826</c:v>
                </c:pt>
                <c:pt idx="1">
                  <c:v>101.07729440160121</c:v>
                </c:pt>
                <c:pt idx="2">
                  <c:v>98.722552540177773</c:v>
                </c:pt>
                <c:pt idx="3">
                  <c:v>93.542120445046208</c:v>
                </c:pt>
                <c:pt idx="4">
                  <c:v>89.421322187555191</c:v>
                </c:pt>
                <c:pt idx="5">
                  <c:v>87.419791605345253</c:v>
                </c:pt>
                <c:pt idx="6">
                  <c:v>86.360157767704706</c:v>
                </c:pt>
                <c:pt idx="7">
                  <c:v>86.831106139989402</c:v>
                </c:pt>
                <c:pt idx="8">
                  <c:v>88.3</c:v>
                </c:pt>
                <c:pt idx="9">
                  <c:v>89.3</c:v>
                </c:pt>
                <c:pt idx="10">
                  <c:v>90.3</c:v>
                </c:pt>
                <c:pt idx="11">
                  <c:v>91.2</c:v>
                </c:pt>
                <c:pt idx="12">
                  <c:v>90.7</c:v>
                </c:pt>
                <c:pt idx="13">
                  <c:v>89.2</c:v>
                </c:pt>
                <c:pt idx="14">
                  <c:v>89</c:v>
                </c:pt>
                <c:pt idx="15">
                  <c:v>88.3</c:v>
                </c:pt>
                <c:pt idx="16">
                  <c:v>88.3</c:v>
                </c:pt>
                <c:pt idx="17">
                  <c:v>88.3</c:v>
                </c:pt>
                <c:pt idx="18">
                  <c:v>89.1</c:v>
                </c:pt>
                <c:pt idx="19">
                  <c:v>86.4</c:v>
                </c:pt>
                <c:pt idx="20">
                  <c:v>85.7</c:v>
                </c:pt>
                <c:pt idx="21">
                  <c:v>85.8</c:v>
                </c:pt>
                <c:pt idx="22">
                  <c:v>86.3</c:v>
                </c:pt>
                <c:pt idx="23">
                  <c:v>87.5</c:v>
                </c:pt>
                <c:pt idx="24">
                  <c:v>88.3</c:v>
                </c:pt>
                <c:pt idx="25">
                  <c:v>89.1</c:v>
                </c:pt>
                <c:pt idx="26">
                  <c:v>89.6</c:v>
                </c:pt>
                <c:pt idx="27">
                  <c:v>89.4</c:v>
                </c:pt>
                <c:pt idx="28">
                  <c:v>88.6</c:v>
                </c:pt>
                <c:pt idx="29">
                  <c:v>87.8</c:v>
                </c:pt>
                <c:pt idx="30">
                  <c:v>87.7</c:v>
                </c:pt>
                <c:pt idx="31">
                  <c:v>86.4</c:v>
                </c:pt>
                <c:pt idx="32">
                  <c:v>85.7</c:v>
                </c:pt>
                <c:pt idx="33">
                  <c:v>85.6</c:v>
                </c:pt>
                <c:pt idx="34">
                  <c:v>85.5</c:v>
                </c:pt>
                <c:pt idx="35">
                  <c:v>86.1</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pt idx="12">
                  <c:v>45352</c:v>
                </c:pt>
                <c:pt idx="13">
                  <c:v>45383</c:v>
                </c:pt>
                <c:pt idx="14">
                  <c:v>45413</c:v>
                </c:pt>
                <c:pt idx="15">
                  <c:v>45444</c:v>
                </c:pt>
                <c:pt idx="16">
                  <c:v>45474</c:v>
                </c:pt>
                <c:pt idx="17">
                  <c:v>45505</c:v>
                </c:pt>
                <c:pt idx="18">
                  <c:v>45536</c:v>
                </c:pt>
                <c:pt idx="19">
                  <c:v>45566</c:v>
                </c:pt>
                <c:pt idx="20">
                  <c:v>45597</c:v>
                </c:pt>
                <c:pt idx="21">
                  <c:v>45627</c:v>
                </c:pt>
                <c:pt idx="22">
                  <c:v>45658</c:v>
                </c:pt>
                <c:pt idx="23">
                  <c:v>45689</c:v>
                </c:pt>
                <c:pt idx="24">
                  <c:v>45717</c:v>
                </c:pt>
                <c:pt idx="25">
                  <c:v>45748</c:v>
                </c:pt>
                <c:pt idx="26">
                  <c:v>45778</c:v>
                </c:pt>
                <c:pt idx="27">
                  <c:v>45809</c:v>
                </c:pt>
                <c:pt idx="28">
                  <c:v>45839</c:v>
                </c:pt>
                <c:pt idx="29">
                  <c:v>45870</c:v>
                </c:pt>
                <c:pt idx="30">
                  <c:v>45901</c:v>
                </c:pt>
                <c:pt idx="31">
                  <c:v>45931</c:v>
                </c:pt>
                <c:pt idx="32">
                  <c:v>45962</c:v>
                </c:pt>
                <c:pt idx="33">
                  <c:v>45992</c:v>
                </c:pt>
                <c:pt idx="34">
                  <c:v>46023</c:v>
                </c:pt>
                <c:pt idx="35">
                  <c:v>46054</c:v>
                </c:pt>
              </c:numCache>
            </c:numRef>
          </c:cat>
          <c:val>
            <c:numRef>
              <c:f>'DONNEES CUMULS DEPUIS JANVIER'!$G$16:$G$51</c:f>
              <c:numCache>
                <c:formatCode>General</c:formatCode>
                <c:ptCount val="36"/>
                <c:pt idx="0">
                  <c:v>125.2115059221658</c:v>
                </c:pt>
                <c:pt idx="1">
                  <c:v>128.31359278059784</c:v>
                </c:pt>
                <c:pt idx="2">
                  <c:v>128.12558751645045</c:v>
                </c:pt>
                <c:pt idx="3">
                  <c:v>128.40759541267153</c:v>
                </c:pt>
                <c:pt idx="4">
                  <c:v>126.90355329949237</c:v>
                </c:pt>
                <c:pt idx="5">
                  <c:v>129.44162436548223</c:v>
                </c:pt>
                <c:pt idx="6">
                  <c:v>127.27956382778717</c:v>
                </c:pt>
                <c:pt idx="7">
                  <c:v>128.50159804474524</c:v>
                </c:pt>
                <c:pt idx="8">
                  <c:v>128.50159804474524</c:v>
                </c:pt>
                <c:pt idx="9">
                  <c:v>128.6</c:v>
                </c:pt>
                <c:pt idx="10">
                  <c:v>129.19999999999999</c:v>
                </c:pt>
                <c:pt idx="11">
                  <c:v>130.4</c:v>
                </c:pt>
                <c:pt idx="12">
                  <c:v>129.4</c:v>
                </c:pt>
                <c:pt idx="13">
                  <c:v>129.69999999999999</c:v>
                </c:pt>
                <c:pt idx="14">
                  <c:v>129</c:v>
                </c:pt>
                <c:pt idx="15">
                  <c:v>128.5</c:v>
                </c:pt>
                <c:pt idx="16">
                  <c:v>128.6</c:v>
                </c:pt>
                <c:pt idx="17">
                  <c:v>129.19999999999999</c:v>
                </c:pt>
                <c:pt idx="18">
                  <c:v>128.1</c:v>
                </c:pt>
                <c:pt idx="19">
                  <c:v>128.19999999999999</c:v>
                </c:pt>
                <c:pt idx="20">
                  <c:v>127.7</c:v>
                </c:pt>
                <c:pt idx="21">
                  <c:v>128.1</c:v>
                </c:pt>
                <c:pt idx="22">
                  <c:v>131.19999999999999</c:v>
                </c:pt>
                <c:pt idx="23">
                  <c:v>130.19999999999999</c:v>
                </c:pt>
                <c:pt idx="24">
                  <c:v>130.1</c:v>
                </c:pt>
                <c:pt idx="25">
                  <c:v>131.5</c:v>
                </c:pt>
                <c:pt idx="26">
                  <c:v>131.69999999999999</c:v>
                </c:pt>
                <c:pt idx="27">
                  <c:v>130.69999999999999</c:v>
                </c:pt>
                <c:pt idx="28">
                  <c:v>131.30000000000001</c:v>
                </c:pt>
                <c:pt idx="29">
                  <c:v>132.69999999999999</c:v>
                </c:pt>
                <c:pt idx="30">
                  <c:v>131.30000000000001</c:v>
                </c:pt>
                <c:pt idx="31">
                  <c:v>131.69999999999999</c:v>
                </c:pt>
                <c:pt idx="32">
                  <c:v>131.6</c:v>
                </c:pt>
                <c:pt idx="33">
                  <c:v>131.1</c:v>
                </c:pt>
                <c:pt idx="34">
                  <c:v>133.80000000000001</c:v>
                </c:pt>
                <c:pt idx="35">
                  <c:v>133.19999999999999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numCache>
            </c:numRef>
          </c:cat>
          <c:val>
            <c:numRef>
              <c:f>'DONNEES 3-6 MOIS'!$B$16:$B$51</c:f>
              <c:numCache>
                <c:formatCode>General</c:formatCode>
                <c:ptCount val="36"/>
                <c:pt idx="0">
                  <c:v>131.69999999999999</c:v>
                </c:pt>
                <c:pt idx="1">
                  <c:v>131.4</c:v>
                </c:pt>
                <c:pt idx="2">
                  <c:v>130.69999999999999</c:v>
                </c:pt>
                <c:pt idx="3">
                  <c:v>130.5</c:v>
                </c:pt>
                <c:pt idx="4">
                  <c:v>131</c:v>
                </c:pt>
                <c:pt idx="5">
                  <c:v>131.4</c:v>
                </c:pt>
                <c:pt idx="6">
                  <c:v>130.69999999999999</c:v>
                </c:pt>
                <c:pt idx="7">
                  <c:v>130.5</c:v>
                </c:pt>
                <c:pt idx="8">
                  <c:v>130.80000000000001</c:v>
                </c:pt>
                <c:pt idx="9">
                  <c:v>130.30000000000001</c:v>
                </c:pt>
                <c:pt idx="10">
                  <c:v>131.4</c:v>
                </c:pt>
                <c:pt idx="11">
                  <c:v>132.19999999999999</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numCache>
            </c:numRef>
          </c:cat>
          <c:val>
            <c:numRef>
              <c:f>'DONNEES 3-6 MOIS'!$C$16:$C$51</c:f>
              <c:numCache>
                <c:formatCode>General</c:formatCode>
                <c:ptCount val="36"/>
                <c:pt idx="0">
                  <c:v>135</c:v>
                </c:pt>
                <c:pt idx="1">
                  <c:v>135.5</c:v>
                </c:pt>
                <c:pt idx="2">
                  <c:v>135.30000000000001</c:v>
                </c:pt>
                <c:pt idx="3">
                  <c:v>135</c:v>
                </c:pt>
                <c:pt idx="4">
                  <c:v>135.19999999999999</c:v>
                </c:pt>
                <c:pt idx="5">
                  <c:v>136.1</c:v>
                </c:pt>
                <c:pt idx="6">
                  <c:v>135.69999999999999</c:v>
                </c:pt>
                <c:pt idx="7">
                  <c:v>135.69999999999999</c:v>
                </c:pt>
                <c:pt idx="8">
                  <c:v>135.80000000000001</c:v>
                </c:pt>
                <c:pt idx="9">
                  <c:v>136.1</c:v>
                </c:pt>
                <c:pt idx="10">
                  <c:v>137.5</c:v>
                </c:pt>
                <c:pt idx="11">
                  <c:v>137.5</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serie/011816634"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534776" TargetMode="External"/><Relationship Id="rId7" Type="http://schemas.openxmlformats.org/officeDocument/2006/relationships/hyperlink" Target="https://www.insee.fr/fr/statistiques/8682743" TargetMode="External"/><Relationship Id="rId12" Type="http://schemas.openxmlformats.org/officeDocument/2006/relationships/hyperlink" Target="https://www.insee.fr/fr/statistiques/serie/011816634"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11" Type="http://schemas.openxmlformats.org/officeDocument/2006/relationships/hyperlink" Target="https://www.insee.fr/fr/statistiques/8899388" TargetMode="External"/><Relationship Id="rId5" Type="http://schemas.openxmlformats.org/officeDocument/2006/relationships/hyperlink" Target="https://www.insee.fr/fr/statistiques/serie/010766292" TargetMode="External"/><Relationship Id="rId10" Type="http://schemas.openxmlformats.org/officeDocument/2006/relationships/hyperlink" Target="https://www.insee.fr/fr/statistiques/8682743" TargetMode="External"/><Relationship Id="rId4" Type="http://schemas.openxmlformats.org/officeDocument/2006/relationships/hyperlink" Target="https://www.insee.fr/fr/statistiques/serie/010534776" TargetMode="External"/><Relationship Id="rId9" Type="http://schemas.openxmlformats.org/officeDocument/2006/relationships/hyperlink" Target="https://www.insee.fr/fr/statistiques/8682743"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42" Type="http://schemas.openxmlformats.org/officeDocument/2006/relationships/printerSettings" Target="../printerSettings/printerSettings3.bin"/><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hyperlink" Target="https://www.insee.fr/fr/statistiques/serie/011816634" TargetMode="External"/><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16" sqref="A16"/>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FÉVRIER 2026</v>
      </c>
      <c r="C4" s="143">
        <v>46054</v>
      </c>
      <c r="E4" s="103" t="s">
        <v>244</v>
      </c>
      <c r="F4" t="str">
        <f>UPPER(TEXT(DATE4,"mmmmmmmm aaaa"))</f>
        <v>FÉVRIER 2026</v>
      </c>
      <c r="G4" s="143">
        <v>46054</v>
      </c>
    </row>
    <row r="5" spans="1:7">
      <c r="A5" t="str">
        <f>"*/"&amp;TEXT(EDATE(DATE3,-12),"aaaa")&amp;" = Cumul janv "&amp;TEXT(DATE3,"aaaa")&amp;"-"&amp;TEXT(DATE3,"mmm aaaa")&amp;" / Cumul janv "&amp;TEXT(EDATE(DATE3,-12),"aaaa")&amp;"-"&amp;TEXT(EDATE(DATE3,-12),"mmm aaaa")</f>
        <v>*/2025 = Cumul janv 2026-févr 2026 / Cumul janv 2025-févr 2025</v>
      </c>
      <c r="E5" t="str">
        <f>"*/"&amp;TEXT(EDATE(DATE4,-12),"aaaa")&amp;" = Cumul janv "&amp;TEXT(DATE4,"aaaa")&amp;"-"&amp;TEXT(DATE4,"mmm aaaa")&amp;" / Cumul janv "&amp;TEXT(EDATE(DATE4,-12),"aaaa")&amp;"-"&amp;TEXT(EDATE(DATE4,-12),"mmm aaaa")</f>
        <v>*/2025 = Cumul janv 2026-févr 2026 / Cumul janv 2025-févr 2025</v>
      </c>
    </row>
    <row r="6" spans="1:7">
      <c r="A6" t="str">
        <f>"*/"&amp;TEXT(EDATE(DATE3,-24),"aaaa")&amp;" = Cumul janv "&amp;TEXT(DATE3,"aaaa")&amp;"-"&amp;TEXT(DATE3,"mmm aaaa")&amp;" / Cumul janv "&amp;TEXT(EDATE(DATE3,-24),"aaaa")&amp;"-"&amp;TEXT(EDATE(DATE3,-24),"mmm aaaa")</f>
        <v>*/2024 = Cumul janv 2026-févr 2026 / Cumul janv 2024-févr 2024</v>
      </c>
      <c r="E6" t="str">
        <f>"*/"&amp;TEXT(EDATE(DATE4,-24),"aaaa")&amp;" = Cumul janv "&amp;TEXT(DATE4,"aaaa")&amp;"-"&amp;TEXT(DATE4,"mmm aaaa")&amp;" / Cumul janv "&amp;TEXT(EDATE(DATE4,-24),"aaaa")&amp;"-"&amp;TEXT(EDATE(DATE4,-24),"mmm aaaa")</f>
        <v>*/2024 = Cumul janv 2026-févr 2026 / Cumul janv 2024-févr 2024</v>
      </c>
    </row>
    <row r="7" spans="1:7">
      <c r="A7" t="str">
        <f>"*3 mois = Cumul "&amp;TEXT(EDATE(DATE3,-2),"mmm aaaa")&amp;"-"&amp;TEXT(DATE3,"mmm aaaa")&amp;" / Cumul "&amp;TEXT(EDATE(DATE3,-5),"mmm aaaa")&amp;"-"&amp;TEXT(EDATE(DATE3,-3),"mmm aaaa")</f>
        <v>*3 mois = Cumul déc 2025-févr 2026 / Cumul sept 2025-nov 2025</v>
      </c>
      <c r="E7" t="str">
        <f>"*3 mois = Cumul "&amp;TEXT(EDATE(DATE4,-2),"mmm aaaa")&amp;"-"&amp;TEXT(DATE4,"mmm aaaa")&amp;" / Cumul "&amp;TEXT(EDATE(DATE4,-5),"mmm aaaa")&amp;"-"&amp;TEXT(EDATE(DATE4,-3),"mmm aaaa")</f>
        <v>*3 mois = Cumul déc 2025-févr 2026 / Cumul sept 2025-nov 2025</v>
      </c>
    </row>
    <row r="8" spans="1:7">
      <c r="A8" t="str">
        <f>"*6 mois = Cumul "&amp;TEXT(EDATE(DATE3,-5),"mmm aaaa")&amp;"-"&amp;TEXT(DATE3,"mmm aaaa")&amp;" / Cumul "&amp;TEXT(EDATE(DATE3,-11),"mmm aaaa")&amp;"-"&amp;TEXT(EDATE(DATE3,-6),"mmm aaaa")</f>
        <v>*6 mois = Cumul sept 2025-févr 2026 / Cumul mars 2025-août 2025</v>
      </c>
      <c r="E8" t="str">
        <f>"*6 mois = Cumul "&amp;TEXT(EDATE(DATE4,-5),"mmm aaaa")&amp;"-"&amp;TEXT(DATE4,"mmm aaaa")&amp;" / Cumul "&amp;TEXT(EDATE(DATE4,-11),"mmm aaaa")&amp;"-"&amp;TEXT(EDATE(DATE4,-6),"mmm aaaa")</f>
        <v>*6 mois = Cumul sept 2025-févr 2026 / Cumul mars 2025-août 2025</v>
      </c>
    </row>
    <row r="9" spans="1:7">
      <c r="A9" t="str">
        <f>"*/"&amp;TEXT(EDATE(DATE3,-24),"aaaa")</f>
        <v>*/2024</v>
      </c>
      <c r="E9" t="str">
        <f>"*12 mois =  Cumul "&amp;TEXT(EDATE(DATE4,-11),"mmm aaaa")&amp;"-"&amp;TEXT(DATE4,"mmm aaaa")&amp;" / Cumul "&amp;TEXT(EDATE(DATE4,-23),"mmm aaaa")&amp;"-"&amp;TEXT(EDATE(DATE4,-12),"mmm aaaa")</f>
        <v>*12 mois =  Cumul mars 2025-févr 2026 / Cumul mars 2024-févr 2025</v>
      </c>
    </row>
    <row r="10" spans="1:7">
      <c r="A10" t="str">
        <f>"*/"&amp;TEXT(EDATE(DATE3,-12),"aaaa")</f>
        <v>*/2025</v>
      </c>
      <c r="E10" t="str">
        <f>"*24 mois =  Cumul "&amp;TEXT(EDATE(DATE4,-11),"mmm aaaa")&amp;"-"&amp;TEXT(DATE4,"mmm aaaa")&amp;" / Cumul "&amp;TEXT(EDATE(DATE4,-35),"mmm aaaa")&amp;"-"&amp;TEXT(EDATE(DATE4,-24),"mmm aaaa")</f>
        <v>*24 mois =  Cumul mars 2025-févr 2026 / Cumul mars 2023-févr 2024</v>
      </c>
    </row>
    <row r="11" spans="1:7">
      <c r="A11" t="s">
        <v>41</v>
      </c>
      <c r="E11" t="str">
        <f>"*/"&amp;TEXT(EDATE(DATE4,-24),"aaaa")</f>
        <v>*/2024</v>
      </c>
    </row>
    <row r="12" spans="1:7">
      <c r="A12" t="s">
        <v>42</v>
      </c>
      <c r="E12" t="str">
        <f>"*/"&amp;TEXT(EDATE(DATE4,-12),"aaaa")</f>
        <v>*/2025</v>
      </c>
    </row>
    <row r="13" spans="1:7">
      <c r="E13" t="s">
        <v>251</v>
      </c>
    </row>
    <row r="14" spans="1:7">
      <c r="E14" t="s">
        <v>252</v>
      </c>
    </row>
    <row r="15" spans="1:7" ht="15.75">
      <c r="A15" s="102" t="s">
        <v>180</v>
      </c>
      <c r="E15" t="str">
        <f>"*/"&amp;TEXT(EDATE(DATE4,-12),"Mmmmmmm aaaa")</f>
        <v>*/février 2025</v>
      </c>
    </row>
    <row r="16" spans="1:7">
      <c r="A16" s="97">
        <f>DATE1</f>
        <v>43101</v>
      </c>
      <c r="E16" t="str">
        <f>"*/"&amp;TEXT(EDATE(DATE4,-24),"mmmmmmm aaaa")</f>
        <v>*/février 2024</v>
      </c>
    </row>
    <row r="17" spans="1:5">
      <c r="A17" s="97">
        <f>DATE2</f>
        <v>46054</v>
      </c>
      <c r="E17" t="str">
        <f xml:space="preserve"> "*/"&amp;TEXT(EDATE(DATE4,-12), "mmmmmmmm aaaa")&amp;" = "&amp; TEXT(DATE4,  "mmmmmmmm aaaa" ) &amp;"/"&amp;TEXT(EDATE(DATE4,-12), "mmmmmmmm aaaa")</f>
        <v>*/février 2025 = février 2026/février 2025</v>
      </c>
    </row>
    <row r="18" spans="1:5">
      <c r="A18" s="97"/>
      <c r="E18" t="str">
        <f xml:space="preserve"> "*/"&amp;TEXT(EDATE(DATE4,-24), "mmmmmmmm aaaa")&amp;" = "&amp; TEXT(DATE4,  "mmmmmmmm aaaa" ) &amp;"/"&amp;TEXT(EDATE(DATE4,-24), "mmmmmmmm aaaa")</f>
        <v>*/février 2024 = février 2026/février 2024</v>
      </c>
    </row>
  </sheetData>
  <sheetProtection algorithmName="SHA-512" hashValue="2NzZYW2iDL0UIRpws2nhymvm7h9SVR+gemREivfe0h47PtBkiK9jQgPz68Rru5b17zTyTl7dtMIJehCFgAHvDg==" saltValue="GO/X1cAuzrpv7sCO7XQdAQ=="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A16" sqref="A16:A106"/>
    </sheetView>
  </sheetViews>
  <sheetFormatPr baseColWidth="10" defaultColWidth="11.42578125" defaultRowHeight="15"/>
  <cols>
    <col min="1" max="1" width="13.42578125" bestFit="1" customWidth="1"/>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46054</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317</v>
      </c>
      <c r="I7" t="s">
        <v>316</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316</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9" t="s">
        <v>181</v>
      </c>
      <c r="R14" s="229"/>
      <c r="S14" s="229"/>
      <c r="U14" s="228" t="s">
        <v>182</v>
      </c>
      <c r="V14" s="228"/>
      <c r="W14" s="228"/>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0.20653218059558109</v>
      </c>
      <c r="T15" s="90"/>
      <c r="U15" s="90" t="str" cm="1">
        <f t="array" ref="U15:W38">'DATE A DATE '!A7:C30</f>
        <v>TP01</v>
      </c>
      <c r="V15" t="str">
        <v>Index général tous travaux</v>
      </c>
      <c r="W15" s="4">
        <v>0.2320596458527493</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0.20373514431239403</v>
      </c>
      <c r="T16" s="90"/>
      <c r="U16" s="90" t="str">
        <v>TP02</v>
      </c>
      <c r="V16" t="str">
        <v>Travaux de génie civil et d’ouvrages d’art neufs ou rénovation</v>
      </c>
      <c r="W16" s="4">
        <v>0.23651079136690645</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0.19635099913119025</v>
      </c>
      <c r="T17" s="90"/>
      <c r="U17" s="90" t="str">
        <v>TP03a</v>
      </c>
      <c r="V17" t="str">
        <v>Grands terrassements</v>
      </c>
      <c r="W17" s="4">
        <v>0.25998142989786421</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0.53084779348803579</v>
      </c>
      <c r="T18" s="90"/>
      <c r="U18" s="90" t="str">
        <v>TP03b</v>
      </c>
      <c r="V18" t="str">
        <v>Travaux à l’explosif</v>
      </c>
      <c r="W18" s="4">
        <v>0.12033582089552231</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0.19216138328530263</v>
      </c>
      <c r="T19" s="90"/>
      <c r="U19" s="90" t="str">
        <v>TP04</v>
      </c>
      <c r="V19" t="str">
        <v xml:space="preserve">Fondations et travaux géotechniques </v>
      </c>
      <c r="W19" s="4">
        <v>0.22648401826484021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0.174384236453202</v>
      </c>
      <c r="T20" s="90"/>
      <c r="U20" s="90" t="str">
        <v>TP05a</v>
      </c>
      <c r="V20" t="str">
        <v xml:space="preserve">Travaux en souterrains traditionnels </v>
      </c>
      <c r="W20" s="4">
        <v>0.25551470588235303</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0.19034090909090917</v>
      </c>
      <c r="T21" s="90"/>
      <c r="U21" s="90" t="str">
        <v>TP05b</v>
      </c>
      <c r="V21" t="str">
        <v xml:space="preserve">Travaux en souterrains avec tunnelier </v>
      </c>
      <c r="W21" s="4">
        <v>0.26703499079189696</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0.6761102304147466</v>
      </c>
      <c r="T22" s="90"/>
      <c r="U22" s="90" t="str">
        <v>TP06a</v>
      </c>
      <c r="V22" t="str">
        <v>Grands dragages maritimes </v>
      </c>
      <c r="W22" s="4">
        <v>0.26982680036463091</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0.65443135080645165</v>
      </c>
      <c r="T23" s="90"/>
      <c r="U23" s="90" t="str">
        <v>TP06b</v>
      </c>
      <c r="V23" t="str">
        <v>Dragages fluviaux et petits dragages maritimes</v>
      </c>
      <c r="W23" s="4">
        <v>0.25585754451733833</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0.26849261288930792</v>
      </c>
      <c r="T24" s="90"/>
      <c r="U24" s="90" t="str">
        <v>TP07b</v>
      </c>
      <c r="V24" t="str">
        <v>Travaux de génie civil, béton et acier pour ouvrages maritimes et fluviaux</v>
      </c>
      <c r="W24" s="4">
        <v>0.3057929724596391</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0.1658221659919028</v>
      </c>
      <c r="T25" s="90"/>
      <c r="U25" s="90" t="str">
        <v>TP08</v>
      </c>
      <c r="V25" t="str">
        <v>Travaux d’aménagement et entretien de voirie en zonesrurale et urbaine</v>
      </c>
      <c r="W25" s="4">
        <v>0.22930542340627968</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0.39119804400977998</v>
      </c>
      <c r="T26" s="90"/>
      <c r="U26" s="90" t="str">
        <v>TP09</v>
      </c>
      <c r="V26" t="str">
        <v>Fabrication et mise en œuvre d’enrobés </v>
      </c>
      <c r="W26" s="4">
        <v>0.20854021847070503</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0.42267228915662658</v>
      </c>
      <c r="T27" s="90"/>
      <c r="U27" s="90" t="str">
        <v>TP10b</v>
      </c>
      <c r="V27" t="str">
        <v>Canalisations sans fourniture de tuyaux</v>
      </c>
      <c r="W27" s="4">
        <v>0.22524977293369686</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0.14442934272300478</v>
      </c>
      <c r="T28" s="90"/>
      <c r="U28" s="90" t="str">
        <v>TP10c</v>
      </c>
      <c r="V28" t="str">
        <v>Réhabilitation de canalisations non visitables</v>
      </c>
      <c r="W28" s="4">
        <v>0.18049225159525983</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0.24382292929292926</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0.1631410079051383</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0.56104389275074484</v>
      </c>
      <c r="T31" s="90"/>
      <c r="U31" s="90" t="str">
        <v>TP10f</v>
      </c>
      <c r="V31" t="str">
        <v>Canalisations, assainnissement et adduction d'eau avec fourniture de tuyaux avec fourniture de tuyaux multi-matériaux</v>
      </c>
      <c r="W31" s="4">
        <v>0.22428174235403131</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0.41935035105315954</v>
      </c>
      <c r="T32" s="90"/>
      <c r="U32" s="90" t="str">
        <v>TP11</v>
      </c>
      <c r="V32" t="str">
        <v>Canalisations grandes distances de transport / transfert  avec fourniture de tuyaux</v>
      </c>
      <c r="W32" s="4">
        <v>0.2858536585365854</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0.20538181818181811</v>
      </c>
      <c r="T33" s="90"/>
      <c r="U33" s="90" t="str">
        <v>TP12a</v>
      </c>
      <c r="V33" t="str">
        <v>Réseaux d'énergie et de communication</v>
      </c>
      <c r="W33" s="4">
        <v>0.26238532110091728</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0.32826277372262758</v>
      </c>
      <c r="T34" s="90"/>
      <c r="U34" s="90" t="str">
        <v>TP12b</v>
      </c>
      <c r="V34" t="str">
        <v>Éclairage public -Travaux d'installation</v>
      </c>
      <c r="W34" s="4">
        <v>0.19812206572769941</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0.44516324435318255</v>
      </c>
      <c r="T35" s="90"/>
      <c r="U35" s="90" t="str">
        <v>TP12c</v>
      </c>
      <c r="V35" t="str">
        <v>Éclairage public - Travaux  de maintenance</v>
      </c>
      <c r="W35" s="4">
        <v>0.18478260869565211</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0.19201079136690624</v>
      </c>
      <c r="T36" s="90"/>
      <c r="U36" s="90" t="str">
        <v>TP12d</v>
      </c>
      <c r="V36" t="str">
        <v>Réseaux de communication en fibre optique</v>
      </c>
      <c r="W36" s="4">
        <v>0.1534296028880866</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0.40840652883569084</v>
      </c>
      <c r="T37" s="90"/>
      <c r="U37" s="90" t="str">
        <v>TP13a</v>
      </c>
      <c r="V37" t="str">
        <v>Charpentes et ouvrages d'art métalliques</v>
      </c>
      <c r="W37" s="4">
        <v>0.37361623616236161</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0.43874840319361263</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0.40175639922928696</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0.2620769230769231</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6.8392329817833275E-2</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0.29368728489483753</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0.30526091003102374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0.45726458752515087</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0.33774901768172905</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0.44339622641509435</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4.2174074074074142E-2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-0.1935590566037737</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0.43992435530085983</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0.11846747195858498</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0.23123253128007715</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0.32039660056657215</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0.26852603266090314</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139.30000000000001</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139.69999999999999</v>
      </c>
      <c r="F108" s="94" cm="1">
        <f t="array" ref="F108">IF(A108&lt;=DATE2,SUM(IF((INDEX(INDICES,,1)=A108)*(INDEX(INDICES,5,)="GNR pour les Travaux Publics"),INDEX(INDICES,,),0)),"")</f>
        <v>145.1</v>
      </c>
      <c r="G108" s="94" cm="1">
        <f t="array" ref="G108">IF(A108&lt;=DATE2,SUM(IF((INDEX(INDICES,,1)=A108)*(INDEX(INDICES,5,)=indice_compo_max),INDEX(INDICES,,),0)),"")</f>
        <v>131.30000000000001</v>
      </c>
      <c r="H108" s="94" cm="1">
        <f t="array" ref="H108">IF(A108&lt;=DATE2,SUM(IF((INDEX(INDICES,,1)=A108)*(INDEX(INDICES,5,)=indice_compo_max2),INDEX(INDICES,,),0)),"")</f>
        <v>87.7</v>
      </c>
    </row>
    <row r="109" spans="1:8">
      <c r="A109" s="95">
        <f t="shared" si="2"/>
        <v>45931</v>
      </c>
      <c r="B109" s="94" cm="1">
        <f t="array" ref="B109">IF(A109&lt;=DATE2,SUM(IF((INDEX(INDEX,,1)=A109)*(INDEX(INDEX,3,)="TP01"),INDEX(INDEX,,),0)),"")</f>
        <v>130.5</v>
      </c>
      <c r="C109" s="94" cm="1">
        <f t="array" ref="C109">IF(A109&lt;=DATE2,SUM(IF((INDEX(INDEX,,1)=A109)*(INDEX(INDEX,3,)=index_choisi),INDEX(INDEX,,),0)),"")</f>
        <v>135.69999999999999</v>
      </c>
      <c r="D109" s="94" cm="1">
        <f t="array" ref="D109">IF(A109&lt;=DATE2,SUM(IF((INDEX(INDICES,,1)=A109)*(INDEX(INDICES,5,)="Matériel"),INDEX(INDICES,,),0)),"")</f>
        <v>126.7</v>
      </c>
      <c r="E109" s="94" cm="1">
        <f t="array" ref="E109">IF(A109&lt;=DATE2,SUM(IF((INDEX(INDICES,,1)=A109)*(INDEX(INDICES,5,)="Travail"),INDEX(INDICES,,),0)),"")</f>
        <v>140.4</v>
      </c>
      <c r="F109" s="94" cm="1">
        <f t="array" ref="F109">IF(A109&lt;=DATE2,SUM(IF((INDEX(INDICES,,1)=A109)*(INDEX(INDICES,5,)="GNR pour les Travaux Publics"),INDEX(INDICES,,),0)),"")</f>
        <v>143.4</v>
      </c>
      <c r="G109" s="94" cm="1">
        <f t="array" ref="G109">IF(A109&lt;=DATE2,SUM(IF((INDEX(INDICES,,1)=A109)*(INDEX(INDICES,5,)=indice_compo_max),INDEX(INDICES,,),0)),"")</f>
        <v>131.69999999999999</v>
      </c>
      <c r="H109" s="94" cm="1">
        <f t="array" ref="H109">IF(A109&lt;=DATE2,SUM(IF((INDEX(INDICES,,1)=A109)*(INDEX(INDICES,5,)=indice_compo_max2),INDEX(INDICES,,),0)),"")</f>
        <v>86.4</v>
      </c>
    </row>
    <row r="110" spans="1:8">
      <c r="A110" s="95">
        <f t="shared" si="2"/>
        <v>45962</v>
      </c>
      <c r="B110" s="94" cm="1">
        <f t="array" ref="B110">IF(A110&lt;=DATE2,SUM(IF((INDEX(INDEX,,1)=A110)*(INDEX(INDEX,3,)="TP01"),INDEX(INDEX,,),0)),"")</f>
        <v>130.80000000000001</v>
      </c>
      <c r="C110" s="94" cm="1">
        <f t="array" ref="C110">IF(A110&lt;=DATE2,SUM(IF((INDEX(INDEX,,1)=A110)*(INDEX(INDEX,3,)=index_choisi),INDEX(INDEX,,),0)),"")</f>
        <v>135.80000000000001</v>
      </c>
      <c r="D110" s="94" cm="1">
        <f t="array" ref="D110">IF(A110&lt;=DATE2,SUM(IF((INDEX(INDICES,,1)=A110)*(INDEX(INDICES,5,)="Matériel"),INDEX(INDICES,,),0)),"")</f>
        <v>126.2</v>
      </c>
      <c r="E110" s="94" cm="1">
        <f t="array" ref="E110">IF(A110&lt;=DATE2,SUM(IF((INDEX(INDICES,,1)=A110)*(INDEX(INDICES,5,)="Travail"),INDEX(INDICES,,),0)),"")</f>
        <v>141.1</v>
      </c>
      <c r="F110" s="94" cm="1">
        <f t="array" ref="F110">IF(A110&lt;=DATE2,SUM(IF((INDEX(INDICES,,1)=A110)*(INDEX(INDICES,5,)="GNR pour les Travaux Publics"),INDEX(INDICES,,),0)),"")</f>
        <v>149.6</v>
      </c>
      <c r="G110" s="94" cm="1">
        <f t="array" ref="G110">IF(A110&lt;=DATE2,SUM(IF((INDEX(INDICES,,1)=A110)*(INDEX(INDICES,5,)=indice_compo_max),INDEX(INDICES,,),0)),"")</f>
        <v>131.6</v>
      </c>
      <c r="H110" s="94" cm="1">
        <f t="array" ref="H110">IF(A110&lt;=DATE2,SUM(IF((INDEX(INDICES,,1)=A110)*(INDEX(INDICES,5,)=indice_compo_max2),INDEX(INDICES,,),0)),"")</f>
        <v>85.7</v>
      </c>
    </row>
    <row r="111" spans="1:8">
      <c r="A111" s="95">
        <f t="shared" si="2"/>
        <v>45992</v>
      </c>
      <c r="B111" s="94" cm="1">
        <f t="array" ref="B111">IF(A111&lt;=DATE2,SUM(IF((INDEX(INDEX,,1)=A111)*(INDEX(INDEX,3,)="TP01"),INDEX(INDEX,,),0)),"")</f>
        <v>130.30000000000001</v>
      </c>
      <c r="C111" s="94" cm="1">
        <f t="array" ref="C111">IF(A111&lt;=DATE2,SUM(IF((INDEX(INDEX,,1)=A111)*(INDEX(INDEX,3,)=index_choisi),INDEX(INDEX,,),0)),"")</f>
        <v>136.1</v>
      </c>
      <c r="D111" s="94" cm="1">
        <f t="array" ref="D111">IF(A111&lt;=DATE2,SUM(IF((INDEX(INDICES,,1)=A111)*(INDEX(INDICES,5,)="Matériel"),INDEX(INDICES,,),0)),"")</f>
        <v>125.5</v>
      </c>
      <c r="E111" s="94" cm="1">
        <f t="array" ref="E111">IF(A111&lt;=DATE2,SUM(IF((INDEX(INDICES,,1)=A111)*(INDEX(INDICES,5,)="Travail"),INDEX(INDICES,,),0)),"")</f>
        <v>141.80000000000001</v>
      </c>
      <c r="F111" s="94" cm="1">
        <f t="array" ref="F111">IF(A111&lt;=DATE2,SUM(IF((INDEX(INDICES,,1)=A111)*(INDEX(INDICES,5,)="GNR pour les Travaux Publics"),INDEX(INDICES,,),0)),"")</f>
        <v>141.30000000000001</v>
      </c>
      <c r="G111" s="94" cm="1">
        <f t="array" ref="G111">IF(A111&lt;=DATE2,SUM(IF((INDEX(INDICES,,1)=A111)*(INDEX(INDICES,5,)=indice_compo_max),INDEX(INDICES,,),0)),"")</f>
        <v>131.1</v>
      </c>
      <c r="H111" s="94" cm="1">
        <f t="array" ref="H111">IF(A111&lt;=DATE2,SUM(IF((INDEX(INDICES,,1)=A111)*(INDEX(INDICES,5,)=indice_compo_max2),INDEX(INDICES,,),0)),"")</f>
        <v>85.6</v>
      </c>
    </row>
    <row r="112" spans="1:8">
      <c r="A112" s="95">
        <f t="shared" si="2"/>
        <v>46023</v>
      </c>
      <c r="B112" s="94" cm="1">
        <f t="array" ref="B112">IF(A112&lt;=DATE2,SUM(IF((INDEX(INDEX,,1)=A112)*(INDEX(INDEX,3,)="TP01"),INDEX(INDEX,,),0)),"")</f>
        <v>131.4</v>
      </c>
      <c r="C112" s="94" cm="1">
        <f t="array" ref="C112">IF(A112&lt;=DATE2,SUM(IF((INDEX(INDEX,,1)=A112)*(INDEX(INDEX,3,)=index_choisi),INDEX(INDEX,,),0)),"")</f>
        <v>137.5</v>
      </c>
      <c r="D112" s="94" cm="1">
        <f t="array" ref="D112">IF(A112&lt;=DATE2,SUM(IF((INDEX(INDICES,,1)=A112)*(INDEX(INDICES,5,)="Matériel"),INDEX(INDICES,,),0)),"")</f>
        <v>127.6</v>
      </c>
      <c r="E112" s="94" cm="1">
        <f t="array" ref="E112">IF(A112&lt;=DATE2,SUM(IF((INDEX(INDICES,,1)=A112)*(INDEX(INDICES,5,)="Travail"),INDEX(INDICES,,),0)),"")</f>
        <v>141.80000000000001</v>
      </c>
      <c r="F112" s="94" cm="1">
        <f t="array" ref="F112">IF(A112&lt;=DATE2,SUM(IF((INDEX(INDICES,,1)=A112)*(INDEX(INDICES,5,)="GNR pour les Travaux Publics"),INDEX(INDICES,,),0)),"")</f>
        <v>150.1</v>
      </c>
      <c r="G112" s="94" cm="1">
        <f t="array" ref="G112">IF(A112&lt;=DATE2,SUM(IF((INDEX(INDICES,,1)=A112)*(INDEX(INDICES,5,)=indice_compo_max),INDEX(INDICES,,),0)),"")</f>
        <v>133.80000000000001</v>
      </c>
      <c r="H112" s="94" cm="1">
        <f t="array" ref="H112">IF(A112&lt;=DATE2,SUM(IF((INDEX(INDICES,,1)=A112)*(INDEX(INDICES,5,)=indice_compo_max2),INDEX(INDICES,,),0)),"")</f>
        <v>85.5</v>
      </c>
    </row>
    <row r="113" spans="1:8">
      <c r="A113" s="95">
        <f t="shared" si="2"/>
        <v>46054</v>
      </c>
      <c r="B113" s="94" cm="1">
        <f t="array" ref="B113">IF(A113&lt;=DATE2,SUM(IF((INDEX(INDEX,,1)=A113)*(INDEX(INDEX,3,)="TP01"),INDEX(INDEX,,),0)),"")</f>
        <v>132.19999999999999</v>
      </c>
      <c r="C113" s="94" cm="1">
        <f t="array" ref="C113">IF(A113&lt;=DATE2,SUM(IF((INDEX(INDEX,,1)=A113)*(INDEX(INDEX,3,)=index_choisi),INDEX(INDEX,,),0)),"")</f>
        <v>137.5</v>
      </c>
      <c r="D113" s="94" cm="1">
        <f t="array" ref="D113">IF(A113&lt;=DATE2,SUM(IF((INDEX(INDICES,,1)=A113)*(INDEX(INDICES,5,)="Matériel"),INDEX(INDICES,,),0)),"")</f>
        <v>125.6</v>
      </c>
      <c r="E113" s="94" cm="1">
        <f t="array" ref="E113">IF(A113&lt;=DATE2,SUM(IF((INDEX(INDICES,,1)=A113)*(INDEX(INDICES,5,)="Travail"),INDEX(INDICES,,),0)),"")</f>
        <v>141.80000000000001</v>
      </c>
      <c r="F113" s="94" cm="1">
        <f t="array" ref="F113">IF(A113&lt;=DATE2,SUM(IF((INDEX(INDICES,,1)=A113)*(INDEX(INDICES,5,)="GNR pour les Travaux Publics"),INDEX(INDICES,,),0)),"")</f>
        <v>157.19999999999999</v>
      </c>
      <c r="G113" s="94" cm="1">
        <f t="array" ref="G113">IF(A113&lt;=DATE2,SUM(IF((INDEX(INDICES,,1)=A113)*(INDEX(INDICES,5,)=indice_compo_max),INDEX(INDICES,,),0)),"")</f>
        <v>133.19999999999999</v>
      </c>
      <c r="H113" s="94" cm="1">
        <f t="array" ref="H113">IF(A113&lt;=DATE2,SUM(IF((INDEX(INDICES,,1)=A113)*(INDEX(INDICES,5,)=indice_compo_max2),INDEX(INDICES,,),0)),"")</f>
        <v>86.1</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hWLkrjfS51D2RiH07FQmqfqgQ2ap+83dg/R0eliGJTLse2fQLj4p66UROzwhZbJytPbEAqscB1vY/ByOiPDSYA==" saltValue="kOgmSCdEJiwcfbaeOnUmp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33" t="s">
        <v>195</v>
      </c>
      <c r="C1" s="233"/>
      <c r="D1" s="233"/>
      <c r="E1" s="233"/>
      <c r="F1" s="233"/>
    </row>
    <row r="2" spans="1:27" ht="15" customHeight="1">
      <c r="B2" s="234"/>
      <c r="C2" s="234"/>
      <c r="D2" s="234"/>
      <c r="E2" s="234"/>
      <c r="F2" s="234"/>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314</v>
      </c>
      <c r="R3" t="s">
        <v>311</v>
      </c>
      <c r="S3" s="178" t="s">
        <v>217</v>
      </c>
      <c r="T3" s="116" t="s">
        <v>218</v>
      </c>
      <c r="U3" s="178" t="s">
        <v>219</v>
      </c>
      <c r="V3" t="s">
        <v>220</v>
      </c>
      <c r="W3" s="178" t="s">
        <v>221</v>
      </c>
      <c r="X3" s="178" t="s">
        <v>312</v>
      </c>
      <c r="Y3" s="178" t="s">
        <v>313</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269</v>
      </c>
      <c r="R4" t="s">
        <v>270</v>
      </c>
      <c r="S4" t="s">
        <v>34</v>
      </c>
      <c r="T4" t="s">
        <v>35</v>
      </c>
      <c r="U4" t="s">
        <v>36</v>
      </c>
      <c r="V4" t="s">
        <v>37</v>
      </c>
      <c r="W4" t="s">
        <v>38</v>
      </c>
      <c r="X4" t="s">
        <v>271</v>
      </c>
      <c r="Y4" t="s">
        <v>272</v>
      </c>
    </row>
    <row r="5" spans="1:27" ht="18.75">
      <c r="B5" s="235" t="s">
        <v>199</v>
      </c>
      <c r="C5" s="235"/>
      <c r="D5" s="235"/>
      <c r="E5" s="235"/>
    </row>
    <row r="6" spans="1:27">
      <c r="B6" s="231" t="s">
        <v>192</v>
      </c>
      <c r="C6" s="231"/>
      <c r="D6" s="231"/>
    </row>
    <row r="7" spans="1:27">
      <c r="A7" s="104" cm="1">
        <f t="array" ref="A7:Y7">INDEX(INDEX,MATCH(DATE(YEAR(DATE3),1,1),INDEX!A:A,0),)</f>
        <v>46023</v>
      </c>
      <c r="B7" s="43">
        <v>131.4</v>
      </c>
      <c r="C7" s="105">
        <v>137.5</v>
      </c>
      <c r="D7" s="43">
        <v>135.1</v>
      </c>
      <c r="E7" s="43">
        <v>119.7</v>
      </c>
      <c r="F7" s="43">
        <v>134.30000000000001</v>
      </c>
      <c r="G7" s="43">
        <v>136.69999999999999</v>
      </c>
      <c r="H7" s="43">
        <v>138</v>
      </c>
      <c r="I7" s="43">
        <v>138.6</v>
      </c>
      <c r="J7" s="43">
        <v>133.5</v>
      </c>
      <c r="K7" s="43">
        <v>136.80000000000001</v>
      </c>
      <c r="L7" s="43">
        <v>127.8</v>
      </c>
      <c r="M7" s="43">
        <v>119.5</v>
      </c>
      <c r="N7" s="43">
        <v>134.4</v>
      </c>
      <c r="O7" s="43">
        <v>129.30000000000001</v>
      </c>
      <c r="P7" s="43">
        <v>127.2</v>
      </c>
      <c r="Q7" s="43">
        <v>130</v>
      </c>
      <c r="R7" s="43">
        <v>131.4</v>
      </c>
      <c r="S7" s="43">
        <v>130.9</v>
      </c>
      <c r="T7" s="43">
        <v>136.4</v>
      </c>
      <c r="U7" s="43">
        <v>129.80000000000001</v>
      </c>
      <c r="V7" s="43">
        <v>131.19999999999999</v>
      </c>
      <c r="W7" s="43">
        <v>127.4</v>
      </c>
      <c r="X7" s="43">
        <v>147.69999999999999</v>
      </c>
      <c r="Y7" s="43">
        <v>139.69999999999999</v>
      </c>
      <c r="Z7" s="43"/>
      <c r="AA7" s="43"/>
    </row>
    <row r="8" spans="1:27">
      <c r="A8" s="106" cm="1">
        <f t="array" ref="A8:Y8">IF(A7&lt;DATE3,INDEX(INDEX,MATCH(EDATE(A7,1),INDEX!A:A,0),),"")</f>
        <v>46054</v>
      </c>
      <c r="B8">
        <v>132.19999999999999</v>
      </c>
      <c r="C8">
        <v>137.5</v>
      </c>
      <c r="D8">
        <v>135.69999999999999</v>
      </c>
      <c r="E8">
        <v>120.1</v>
      </c>
      <c r="F8">
        <v>134.30000000000001</v>
      </c>
      <c r="G8">
        <v>136.6</v>
      </c>
      <c r="H8">
        <v>137.6</v>
      </c>
      <c r="I8">
        <v>139.30000000000001</v>
      </c>
      <c r="J8">
        <v>134</v>
      </c>
      <c r="K8">
        <v>137.5</v>
      </c>
      <c r="L8">
        <v>129.19999999999999</v>
      </c>
      <c r="M8">
        <v>121.7</v>
      </c>
      <c r="N8">
        <v>134.9</v>
      </c>
      <c r="O8">
        <v>129.5</v>
      </c>
      <c r="P8">
        <v>126.3</v>
      </c>
      <c r="Q8">
        <v>130.6</v>
      </c>
      <c r="R8">
        <v>132.1</v>
      </c>
      <c r="S8">
        <v>131.80000000000001</v>
      </c>
      <c r="T8">
        <v>137.6</v>
      </c>
      <c r="U8">
        <v>127.6</v>
      </c>
      <c r="V8">
        <v>130.80000000000001</v>
      </c>
      <c r="W8">
        <v>127.8</v>
      </c>
      <c r="X8">
        <v>148.9</v>
      </c>
      <c r="Y8">
        <v>139.6</v>
      </c>
    </row>
    <row r="9" spans="1:27">
      <c r="A9" s="106" t="str" cm="1">
        <f t="array" ref="A9">IF(A8&lt;DATE3,INDEX(INDEX,MATCH(EDATE(A8,1),INDEX!A:A,0),),"")</f>
        <v/>
      </c>
    </row>
    <row r="10" spans="1:27">
      <c r="A10" s="106" t="str" cm="1">
        <f t="array" ref="A10">IF(A9&lt;DATE3,INDEX(INDEX,MATCH(EDATE(A9,1),INDEX!A:A,0),),"")</f>
        <v/>
      </c>
    </row>
    <row r="11" spans="1:27">
      <c r="A11" s="106" t="str" cm="1">
        <f t="array" ref="A11">IF(A10&lt;DATE3,INDEX(INDEX,MATCH(EDATE(A10,1),INDEX!A:A,0),),"")</f>
        <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263.60000000000002</v>
      </c>
      <c r="C20">
        <f t="shared" ref="C20:Y20" si="0">SUM(C7:C19)</f>
        <v>275</v>
      </c>
      <c r="D20">
        <f t="shared" si="0"/>
        <v>270.79999999999995</v>
      </c>
      <c r="E20">
        <f t="shared" si="0"/>
        <v>239.8</v>
      </c>
      <c r="F20">
        <f t="shared" si="0"/>
        <v>268.60000000000002</v>
      </c>
      <c r="G20">
        <f t="shared" si="0"/>
        <v>273.29999999999995</v>
      </c>
      <c r="H20">
        <f t="shared" si="0"/>
        <v>275.60000000000002</v>
      </c>
      <c r="I20">
        <f t="shared" si="0"/>
        <v>277.89999999999998</v>
      </c>
      <c r="J20">
        <f t="shared" si="0"/>
        <v>267.5</v>
      </c>
      <c r="K20">
        <f t="shared" si="0"/>
        <v>274.3</v>
      </c>
      <c r="L20">
        <f t="shared" si="0"/>
        <v>257</v>
      </c>
      <c r="M20">
        <f t="shared" si="0"/>
        <v>241.2</v>
      </c>
      <c r="N20">
        <f t="shared" si="0"/>
        <v>269.3</v>
      </c>
      <c r="O20">
        <f t="shared" si="0"/>
        <v>258.8</v>
      </c>
      <c r="P20">
        <f t="shared" si="0"/>
        <v>253.5</v>
      </c>
      <c r="Q20">
        <f t="shared" si="0"/>
        <v>260.60000000000002</v>
      </c>
      <c r="R20">
        <f t="shared" si="0"/>
        <v>263.5</v>
      </c>
      <c r="S20">
        <f t="shared" si="0"/>
        <v>262.70000000000005</v>
      </c>
      <c r="T20">
        <f t="shared" si="0"/>
        <v>274</v>
      </c>
      <c r="U20">
        <f t="shared" si="0"/>
        <v>257.39999999999998</v>
      </c>
      <c r="V20">
        <f t="shared" si="0"/>
        <v>262</v>
      </c>
      <c r="W20">
        <f>SUM(W7:W19)</f>
        <v>255.2</v>
      </c>
      <c r="X20">
        <f>SUM(X7:X19)</f>
        <v>296.60000000000002</v>
      </c>
      <c r="Y20">
        <f t="shared" si="0"/>
        <v>279.29999999999995</v>
      </c>
    </row>
    <row r="22" spans="1:25">
      <c r="B22" s="232" t="s">
        <v>193</v>
      </c>
      <c r="C22" s="232"/>
      <c r="D22" s="232"/>
    </row>
    <row r="23" spans="1:25">
      <c r="A23" s="104" cm="1">
        <f t="array" ref="A23:Y23">IF(DATE(YEAR(EDATE(DATE3,-12)),1,1)&lt;=EDATE(DATE3,-12),INDEX(INDEX,MATCH(DATE(YEAR(EDATE(DATE3,-12)),1,1),INDEX!A:A,0),),"")</f>
        <v>45658</v>
      </c>
      <c r="B23" s="43">
        <v>131.9</v>
      </c>
      <c r="C23" s="43">
        <v>135.1</v>
      </c>
      <c r="D23" s="43">
        <v>133.4</v>
      </c>
      <c r="E23" s="43">
        <v>119.7</v>
      </c>
      <c r="F23" s="43">
        <v>132.6</v>
      </c>
      <c r="G23" s="43">
        <v>134.69999999999999</v>
      </c>
      <c r="H23" s="43">
        <v>136.5</v>
      </c>
      <c r="I23" s="43">
        <v>138.1</v>
      </c>
      <c r="J23" s="43">
        <v>131.5</v>
      </c>
      <c r="K23" s="43">
        <v>133</v>
      </c>
      <c r="L23" s="43">
        <v>131.6</v>
      </c>
      <c r="M23" s="43">
        <v>130.69999999999999</v>
      </c>
      <c r="N23" s="43">
        <v>131.5</v>
      </c>
      <c r="O23" s="43">
        <v>130.80000000000001</v>
      </c>
      <c r="P23" s="43">
        <v>125.3</v>
      </c>
      <c r="Q23" s="43">
        <v>128.30000000000001</v>
      </c>
      <c r="R23" s="43">
        <v>129.80000000000001</v>
      </c>
      <c r="S23" s="43">
        <v>130.1</v>
      </c>
      <c r="T23" s="43">
        <v>132.6</v>
      </c>
      <c r="U23" s="43">
        <v>127.7</v>
      </c>
      <c r="V23" s="43">
        <v>128.1</v>
      </c>
      <c r="W23" s="43">
        <v>125.7</v>
      </c>
      <c r="X23" s="7">
        <v>153</v>
      </c>
      <c r="Y23">
        <v>138.19999999999999</v>
      </c>
    </row>
    <row r="24" spans="1:25">
      <c r="A24" s="106" cm="1">
        <f t="array" ref="A24:Y24">IF(A23&lt;EDATE(DATE3,-12),INDEX(INDEX,MATCH(EDATE(A23,1),INDEX!A:A,0),),"")</f>
        <v>45689</v>
      </c>
      <c r="B24">
        <v>132.19999999999999</v>
      </c>
      <c r="C24">
        <v>135</v>
      </c>
      <c r="D24">
        <v>133.4</v>
      </c>
      <c r="E24">
        <v>120.2</v>
      </c>
      <c r="F24">
        <v>132.4</v>
      </c>
      <c r="G24">
        <v>134.4</v>
      </c>
      <c r="H24">
        <v>135.80000000000001</v>
      </c>
      <c r="I24">
        <v>138.19999999999999</v>
      </c>
      <c r="J24">
        <v>131.69999999999999</v>
      </c>
      <c r="K24">
        <v>133.4</v>
      </c>
      <c r="L24">
        <v>132.19999999999999</v>
      </c>
      <c r="M24">
        <v>132.1</v>
      </c>
      <c r="N24">
        <v>132</v>
      </c>
      <c r="O24">
        <v>131.19999999999999</v>
      </c>
      <c r="P24">
        <v>124.9</v>
      </c>
      <c r="Q24">
        <v>128.9</v>
      </c>
      <c r="R24">
        <v>130</v>
      </c>
      <c r="S24">
        <v>130.9</v>
      </c>
      <c r="T24">
        <v>132.4</v>
      </c>
      <c r="U24">
        <v>127.5</v>
      </c>
      <c r="V24">
        <v>128.5</v>
      </c>
      <c r="W24">
        <v>124.3</v>
      </c>
      <c r="X24" s="107">
        <v>152.4</v>
      </c>
      <c r="Y24">
        <v>137.4</v>
      </c>
    </row>
    <row r="25" spans="1:25">
      <c r="A25" s="106" t="str" cm="1">
        <f t="array" ref="A25">IF(A24&lt;EDATE(DATE3,-12),INDEX(INDEX,MATCH(EDATE(A24,1),INDEX!A:A,0),),"")</f>
        <v/>
      </c>
      <c r="X25" s="107"/>
    </row>
    <row r="26" spans="1:25">
      <c r="A26" s="106" t="str" cm="1">
        <f t="array" ref="A26">IF(A25&lt;EDATE(DATE3,-12),INDEX(INDEX,MATCH(EDATE(A25,1),INDEX!A:A,0),),"")</f>
        <v/>
      </c>
      <c r="X26" s="107"/>
    </row>
    <row r="27" spans="1:25">
      <c r="A27" s="106" t="str" cm="1">
        <f t="array" ref="A27">IF(A26&lt;EDATE(DATE3,-12),INDEX(INDEX,MATCH(EDATE(A26,1),INDEX!A:A,0),),"")</f>
        <v/>
      </c>
      <c r="X27" s="107"/>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264.10000000000002</v>
      </c>
      <c r="C36">
        <f t="shared" ref="C36:Y36" si="1">SUM(C23:C35)</f>
        <v>270.10000000000002</v>
      </c>
      <c r="D36">
        <f t="shared" si="1"/>
        <v>266.8</v>
      </c>
      <c r="E36">
        <f t="shared" si="1"/>
        <v>239.9</v>
      </c>
      <c r="F36">
        <f t="shared" si="1"/>
        <v>265</v>
      </c>
      <c r="G36">
        <f t="shared" si="1"/>
        <v>269.10000000000002</v>
      </c>
      <c r="H36">
        <f t="shared" si="1"/>
        <v>272.3</v>
      </c>
      <c r="I36">
        <f t="shared" si="1"/>
        <v>276.29999999999995</v>
      </c>
      <c r="J36">
        <f t="shared" si="1"/>
        <v>263.2</v>
      </c>
      <c r="K36">
        <f t="shared" si="1"/>
        <v>266.39999999999998</v>
      </c>
      <c r="L36">
        <f t="shared" si="1"/>
        <v>263.79999999999995</v>
      </c>
      <c r="M36">
        <f t="shared" si="1"/>
        <v>262.79999999999995</v>
      </c>
      <c r="N36">
        <f t="shared" si="1"/>
        <v>263.5</v>
      </c>
      <c r="O36">
        <f t="shared" si="1"/>
        <v>262</v>
      </c>
      <c r="P36">
        <f t="shared" si="1"/>
        <v>250.2</v>
      </c>
      <c r="Q36">
        <f t="shared" si="1"/>
        <v>257.20000000000005</v>
      </c>
      <c r="R36">
        <f t="shared" si="1"/>
        <v>259.8</v>
      </c>
      <c r="S36">
        <f t="shared" si="1"/>
        <v>261</v>
      </c>
      <c r="T36">
        <f t="shared" si="1"/>
        <v>265</v>
      </c>
      <c r="U36">
        <f t="shared" si="1"/>
        <v>255.2</v>
      </c>
      <c r="V36">
        <f t="shared" si="1"/>
        <v>256.60000000000002</v>
      </c>
      <c r="W36">
        <f t="shared" si="1"/>
        <v>250</v>
      </c>
      <c r="X36">
        <f t="shared" si="1"/>
        <v>305.39999999999998</v>
      </c>
      <c r="Y36">
        <f t="shared" si="1"/>
        <v>275.60000000000002</v>
      </c>
    </row>
    <row r="38" spans="1:25">
      <c r="B38" s="232" t="s">
        <v>194</v>
      </c>
      <c r="C38" s="232"/>
      <c r="D38" s="232"/>
    </row>
    <row r="39" spans="1:25">
      <c r="A39" s="104" cm="1">
        <f t="array" ref="A39:Y39">IF(DATE(YEAR(EDATE(DATE3,-24)),1,1)&lt;=EDATE(DATE3,-24),INDEX(INDEX,MATCH(DATE(YEAR(EDATE(DATE3,-24)),1,1),INDEX!A:A,0),),"")</f>
        <v>45292</v>
      </c>
      <c r="B39" s="43">
        <v>129.6</v>
      </c>
      <c r="C39" s="43">
        <v>134</v>
      </c>
      <c r="D39" s="43">
        <v>130.9</v>
      </c>
      <c r="E39" s="43">
        <v>115.4</v>
      </c>
      <c r="F39" s="43">
        <v>131.69999999999999</v>
      </c>
      <c r="G39" s="43">
        <v>133.19999999999999</v>
      </c>
      <c r="H39" s="43">
        <v>135.9</v>
      </c>
      <c r="I39" s="43">
        <v>137.80000000000001</v>
      </c>
      <c r="J39" s="43">
        <v>128.19999999999999</v>
      </c>
      <c r="K39" s="43">
        <v>133.4</v>
      </c>
      <c r="L39" s="43">
        <v>128.6</v>
      </c>
      <c r="M39" s="43">
        <v>124.5</v>
      </c>
      <c r="N39" s="43">
        <v>129.6</v>
      </c>
      <c r="O39" s="43">
        <v>129.30000000000001</v>
      </c>
      <c r="P39" s="43">
        <v>125.4</v>
      </c>
      <c r="Q39" s="43">
        <v>127.4</v>
      </c>
      <c r="R39" s="43">
        <v>130.30000000000001</v>
      </c>
      <c r="S39" s="43">
        <v>130</v>
      </c>
      <c r="T39" s="43">
        <v>129.6</v>
      </c>
      <c r="U39" s="43">
        <v>127.5</v>
      </c>
      <c r="V39" s="43">
        <v>125.2</v>
      </c>
      <c r="W39" s="43">
        <v>124.9</v>
      </c>
      <c r="X39" s="7">
        <v>151.9</v>
      </c>
      <c r="Y39">
        <v>137.1</v>
      </c>
    </row>
    <row r="40" spans="1:25">
      <c r="A40" s="106" cm="1">
        <f t="array" ref="A40:Y40">IF(A39&lt;EDATE(DATE3,-24),INDEX(INDEX,MATCH(EDATE(A39,1),INDEX!A:A,0),),"")</f>
        <v>45323</v>
      </c>
      <c r="B40">
        <v>129.9</v>
      </c>
      <c r="C40">
        <v>133.6</v>
      </c>
      <c r="D40">
        <v>131.69999999999999</v>
      </c>
      <c r="E40">
        <v>116</v>
      </c>
      <c r="F40">
        <v>132.30000000000001</v>
      </c>
      <c r="G40">
        <v>132.9</v>
      </c>
      <c r="H40">
        <v>135.19999999999999</v>
      </c>
      <c r="I40">
        <v>140.5</v>
      </c>
      <c r="J40">
        <v>129.19999999999999</v>
      </c>
      <c r="K40">
        <v>133.6</v>
      </c>
      <c r="L40">
        <v>128.6</v>
      </c>
      <c r="M40">
        <v>124.1</v>
      </c>
      <c r="N40">
        <v>130.19999999999999</v>
      </c>
      <c r="O40">
        <v>130.1</v>
      </c>
      <c r="P40">
        <v>125.1</v>
      </c>
      <c r="Q40">
        <v>128.4</v>
      </c>
      <c r="R40">
        <v>130.6</v>
      </c>
      <c r="S40">
        <v>131.1</v>
      </c>
      <c r="T40">
        <v>130.5</v>
      </c>
      <c r="U40">
        <v>127.9</v>
      </c>
      <c r="V40">
        <v>126.2</v>
      </c>
      <c r="W40">
        <v>125.7</v>
      </c>
      <c r="X40" s="107">
        <v>150.9</v>
      </c>
      <c r="Y40">
        <v>135.9</v>
      </c>
    </row>
    <row r="41" spans="1:25">
      <c r="A41" s="106" t="str" cm="1">
        <f t="array" ref="A41">IF(A40&lt;EDATE(DATE3,-24),INDEX(INDEX,MATCH(EDATE(A40,1),INDEX!A:A,0),),"")</f>
        <v/>
      </c>
      <c r="X41" s="107"/>
    </row>
    <row r="42" spans="1:25">
      <c r="A42" s="106" t="str" cm="1">
        <f t="array" ref="A42">IF(A41&lt;EDATE(DATE3,-24),INDEX(INDEX,MATCH(EDATE(A41,1),INDEX!A:A,0),),"")</f>
        <v/>
      </c>
      <c r="X42" s="107"/>
    </row>
    <row r="43" spans="1:25">
      <c r="A43" s="106" t="str" cm="1">
        <f t="array" ref="A43">IF(A42&lt;EDATE(DATE3,-24),INDEX(INDEX,MATCH(EDATE(A42,1),INDEX!A:A,0),),"")</f>
        <v/>
      </c>
      <c r="X43" s="107"/>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259.5</v>
      </c>
      <c r="C52">
        <f t="shared" si="2"/>
        <v>267.60000000000002</v>
      </c>
      <c r="D52">
        <f t="shared" si="2"/>
        <v>262.60000000000002</v>
      </c>
      <c r="E52">
        <f t="shared" si="2"/>
        <v>231.4</v>
      </c>
      <c r="F52">
        <f t="shared" si="2"/>
        <v>264</v>
      </c>
      <c r="G52">
        <f t="shared" si="2"/>
        <v>266.10000000000002</v>
      </c>
      <c r="H52">
        <f t="shared" si="2"/>
        <v>271.10000000000002</v>
      </c>
      <c r="I52">
        <f t="shared" si="2"/>
        <v>278.3</v>
      </c>
      <c r="J52">
        <f t="shared" si="2"/>
        <v>257.39999999999998</v>
      </c>
      <c r="K52">
        <f t="shared" si="2"/>
        <v>267</v>
      </c>
      <c r="L52">
        <f t="shared" si="2"/>
        <v>257.2</v>
      </c>
      <c r="M52">
        <f t="shared" si="2"/>
        <v>248.6</v>
      </c>
      <c r="N52">
        <f t="shared" si="2"/>
        <v>259.79999999999995</v>
      </c>
      <c r="O52">
        <f t="shared" si="2"/>
        <v>259.39999999999998</v>
      </c>
      <c r="P52">
        <f t="shared" si="2"/>
        <v>250.5</v>
      </c>
      <c r="Q52">
        <f t="shared" si="2"/>
        <v>255.8</v>
      </c>
      <c r="R52">
        <f t="shared" si="2"/>
        <v>260.89999999999998</v>
      </c>
      <c r="S52">
        <f t="shared" si="2"/>
        <v>261.10000000000002</v>
      </c>
      <c r="T52">
        <f t="shared" si="2"/>
        <v>260.10000000000002</v>
      </c>
      <c r="U52">
        <f t="shared" si="2"/>
        <v>255.4</v>
      </c>
      <c r="V52">
        <f t="shared" si="2"/>
        <v>251.4</v>
      </c>
      <c r="W52">
        <f t="shared" si="2"/>
        <v>250.60000000000002</v>
      </c>
      <c r="X52">
        <f t="shared" si="2"/>
        <v>302.8</v>
      </c>
      <c r="Y52">
        <f t="shared" si="2"/>
        <v>273</v>
      </c>
      <c r="Z52">
        <f t="shared" si="2"/>
        <v>0</v>
      </c>
      <c r="AA52">
        <f t="shared" si="2"/>
        <v>0</v>
      </c>
    </row>
    <row r="54" spans="1:27" ht="18.75">
      <c r="B54" s="230" t="s">
        <v>200</v>
      </c>
      <c r="C54" s="230"/>
      <c r="D54" s="230"/>
      <c r="E54" s="230"/>
    </row>
    <row r="55" spans="1:27">
      <c r="B55" s="236" t="s">
        <v>39</v>
      </c>
      <c r="C55" s="236"/>
      <c r="D55" s="236"/>
    </row>
    <row r="56" spans="1:27">
      <c r="A56" s="104" cm="1">
        <f t="array" ref="A56:Y56">INDEX(INDEX,MATCH(EDATE(DATE3,-5),INDEX!A:A,0),)</f>
        <v>45901</v>
      </c>
      <c r="B56" s="43">
        <v>130.69999999999999</v>
      </c>
      <c r="C56" s="43">
        <v>135.69999999999999</v>
      </c>
      <c r="D56" s="43">
        <v>133.4</v>
      </c>
      <c r="E56" s="43">
        <v>117</v>
      </c>
      <c r="F56" s="43">
        <v>132.19999999999999</v>
      </c>
      <c r="G56" s="43">
        <v>134.6</v>
      </c>
      <c r="H56" s="43">
        <v>135.30000000000001</v>
      </c>
      <c r="I56" s="43">
        <v>136.80000000000001</v>
      </c>
      <c r="J56" s="43">
        <v>131.80000000000001</v>
      </c>
      <c r="K56" s="43">
        <v>134.9</v>
      </c>
      <c r="L56" s="43">
        <v>128.19999999999999</v>
      </c>
      <c r="M56" s="43">
        <v>122.6</v>
      </c>
      <c r="N56" s="43">
        <v>132.9</v>
      </c>
      <c r="O56" s="43">
        <v>129.69999999999999</v>
      </c>
      <c r="P56" s="43">
        <v>125.8</v>
      </c>
      <c r="Q56" s="43">
        <v>129.6</v>
      </c>
      <c r="R56" s="43">
        <v>130.80000000000001</v>
      </c>
      <c r="S56" s="43">
        <v>131.30000000000001</v>
      </c>
      <c r="T56" s="43">
        <v>133.6</v>
      </c>
      <c r="U56" s="43">
        <v>128.19999999999999</v>
      </c>
      <c r="V56" s="43">
        <v>129.9</v>
      </c>
      <c r="W56" s="43">
        <v>125.6</v>
      </c>
      <c r="X56" s="7">
        <v>151.80000000000001</v>
      </c>
      <c r="Y56">
        <v>136.1</v>
      </c>
    </row>
    <row r="57" spans="1:27">
      <c r="A57" s="106" cm="1">
        <f t="array" ref="A57:Y57">INDEX(INDEX,MATCH(EDATE(A56,1),INDEX!A:A,0),)</f>
        <v>45931</v>
      </c>
      <c r="B57">
        <v>130.5</v>
      </c>
      <c r="C57">
        <v>135.69999999999999</v>
      </c>
      <c r="D57">
        <v>133.30000000000001</v>
      </c>
      <c r="E57">
        <v>117</v>
      </c>
      <c r="F57">
        <v>132.1</v>
      </c>
      <c r="G57">
        <v>134.69999999999999</v>
      </c>
      <c r="H57">
        <v>135.4</v>
      </c>
      <c r="I57">
        <v>136.69999999999999</v>
      </c>
      <c r="J57">
        <v>131.6</v>
      </c>
      <c r="K57">
        <v>134.69999999999999</v>
      </c>
      <c r="L57">
        <v>128</v>
      </c>
      <c r="M57">
        <v>121.7</v>
      </c>
      <c r="N57">
        <v>133.1</v>
      </c>
      <c r="O57">
        <v>129.80000000000001</v>
      </c>
      <c r="P57">
        <v>126</v>
      </c>
      <c r="Q57">
        <v>129.4</v>
      </c>
      <c r="R57">
        <v>130.5</v>
      </c>
      <c r="S57">
        <v>130.9</v>
      </c>
      <c r="T57">
        <v>133.5</v>
      </c>
      <c r="U57">
        <v>128.19999999999999</v>
      </c>
      <c r="V57">
        <v>130</v>
      </c>
      <c r="W57">
        <v>125.4</v>
      </c>
      <c r="X57" s="107">
        <v>145.6</v>
      </c>
      <c r="Y57">
        <v>136.4</v>
      </c>
    </row>
    <row r="58" spans="1:27">
      <c r="A58" s="106" cm="1">
        <f t="array" ref="A58:Y58">INDEX(INDEX,MATCH(EDATE(A57,1),INDEX!A:A,0),)</f>
        <v>45962</v>
      </c>
      <c r="B58">
        <v>130.80000000000001</v>
      </c>
      <c r="C58">
        <v>135.80000000000001</v>
      </c>
      <c r="D58">
        <v>133.69999999999999</v>
      </c>
      <c r="E58">
        <v>118.3</v>
      </c>
      <c r="F58">
        <v>132.30000000000001</v>
      </c>
      <c r="G58">
        <v>134.9</v>
      </c>
      <c r="H58">
        <v>135.69999999999999</v>
      </c>
      <c r="I58">
        <v>138.69999999999999</v>
      </c>
      <c r="J58">
        <v>132.1</v>
      </c>
      <c r="K58">
        <v>134.69999999999999</v>
      </c>
      <c r="L58">
        <v>128.4</v>
      </c>
      <c r="M58">
        <v>122.6</v>
      </c>
      <c r="N58">
        <v>133.30000000000001</v>
      </c>
      <c r="O58">
        <v>129.1</v>
      </c>
      <c r="P58">
        <v>126.4</v>
      </c>
      <c r="Q58">
        <v>129.4</v>
      </c>
      <c r="R58">
        <v>130.69999999999999</v>
      </c>
      <c r="S58">
        <v>130.69999999999999</v>
      </c>
      <c r="T58">
        <v>134</v>
      </c>
      <c r="U58">
        <v>128.4</v>
      </c>
      <c r="V58">
        <v>130.1</v>
      </c>
      <c r="W58">
        <v>125.7</v>
      </c>
      <c r="X58" s="107">
        <v>146.69999999999999</v>
      </c>
      <c r="Y58">
        <v>137.1</v>
      </c>
    </row>
    <row r="59" spans="1:27">
      <c r="A59" s="106" cm="1">
        <f t="array" ref="A59:Y59">INDEX(INDEX,MATCH(EDATE(A58,1),INDEX!A:A,0),)</f>
        <v>45992</v>
      </c>
      <c r="B59">
        <v>130.30000000000001</v>
      </c>
      <c r="C59">
        <v>136.1</v>
      </c>
      <c r="D59">
        <v>133.1</v>
      </c>
      <c r="E59">
        <v>117.8</v>
      </c>
      <c r="F59">
        <v>132.5</v>
      </c>
      <c r="G59">
        <v>135.19999999999999</v>
      </c>
      <c r="H59">
        <v>136.4</v>
      </c>
      <c r="I59">
        <v>135.6</v>
      </c>
      <c r="J59">
        <v>131</v>
      </c>
      <c r="K59">
        <v>134.69999999999999</v>
      </c>
      <c r="L59">
        <v>127.6</v>
      </c>
      <c r="M59">
        <v>120.5</v>
      </c>
      <c r="N59">
        <v>133.30000000000001</v>
      </c>
      <c r="O59">
        <v>128.5</v>
      </c>
      <c r="P59">
        <v>125.5</v>
      </c>
      <c r="Q59">
        <v>129.1</v>
      </c>
      <c r="R59">
        <v>130.30000000000001</v>
      </c>
      <c r="S59">
        <v>130.4</v>
      </c>
      <c r="T59">
        <v>134.30000000000001</v>
      </c>
      <c r="U59">
        <v>127.7</v>
      </c>
      <c r="V59">
        <v>130.19999999999999</v>
      </c>
      <c r="W59">
        <v>126.1</v>
      </c>
      <c r="X59" s="107">
        <v>149.69999999999999</v>
      </c>
      <c r="Y59">
        <v>138.4</v>
      </c>
    </row>
    <row r="60" spans="1:27">
      <c r="A60" s="106" cm="1">
        <f t="array" ref="A60:Y60">INDEX(INDEX,MATCH(EDATE(A59,1),INDEX!A:A,0),)</f>
        <v>46023</v>
      </c>
      <c r="B60">
        <v>131.4</v>
      </c>
      <c r="C60">
        <v>137.5</v>
      </c>
      <c r="D60">
        <v>135.1</v>
      </c>
      <c r="E60">
        <v>119.7</v>
      </c>
      <c r="F60">
        <v>134.30000000000001</v>
      </c>
      <c r="G60">
        <v>136.69999999999999</v>
      </c>
      <c r="H60">
        <v>138</v>
      </c>
      <c r="I60">
        <v>138.6</v>
      </c>
      <c r="J60">
        <v>133.5</v>
      </c>
      <c r="K60">
        <v>136.80000000000001</v>
      </c>
      <c r="L60">
        <v>127.8</v>
      </c>
      <c r="M60">
        <v>119.5</v>
      </c>
      <c r="N60">
        <v>134.4</v>
      </c>
      <c r="O60">
        <v>129.30000000000001</v>
      </c>
      <c r="P60">
        <v>127.2</v>
      </c>
      <c r="Q60">
        <v>130</v>
      </c>
      <c r="R60">
        <v>131.4</v>
      </c>
      <c r="S60">
        <v>130.9</v>
      </c>
      <c r="T60">
        <v>136.4</v>
      </c>
      <c r="U60">
        <v>129.80000000000001</v>
      </c>
      <c r="V60">
        <v>131.19999999999999</v>
      </c>
      <c r="W60">
        <v>127.4</v>
      </c>
      <c r="X60" s="107">
        <v>147.69999999999999</v>
      </c>
      <c r="Y60">
        <v>139.69999999999999</v>
      </c>
    </row>
    <row r="61" spans="1:27">
      <c r="A61" s="108" cm="1">
        <f t="array" ref="A61:Y61">INDEX(INDEX,MATCH(EDATE(A60,1),INDEX!A:A,0),)</f>
        <v>46054</v>
      </c>
      <c r="B61" s="109">
        <v>132.19999999999999</v>
      </c>
      <c r="C61" s="109">
        <v>137.5</v>
      </c>
      <c r="D61" s="109">
        <v>135.69999999999999</v>
      </c>
      <c r="E61" s="109">
        <v>120.1</v>
      </c>
      <c r="F61" s="109">
        <v>134.30000000000001</v>
      </c>
      <c r="G61" s="109">
        <v>136.6</v>
      </c>
      <c r="H61" s="109">
        <v>137.6</v>
      </c>
      <c r="I61" s="109">
        <v>139.30000000000001</v>
      </c>
      <c r="J61" s="109">
        <v>134</v>
      </c>
      <c r="K61" s="109">
        <v>137.5</v>
      </c>
      <c r="L61" s="109">
        <v>129.19999999999999</v>
      </c>
      <c r="M61" s="109">
        <v>121.7</v>
      </c>
      <c r="N61" s="109">
        <v>134.9</v>
      </c>
      <c r="O61" s="109">
        <v>129.5</v>
      </c>
      <c r="P61" s="109">
        <v>126.3</v>
      </c>
      <c r="Q61" s="109">
        <v>130.6</v>
      </c>
      <c r="R61" s="109">
        <v>132.1</v>
      </c>
      <c r="S61" s="109">
        <v>131.80000000000001</v>
      </c>
      <c r="T61" s="109">
        <v>137.6</v>
      </c>
      <c r="U61" s="109">
        <v>127.6</v>
      </c>
      <c r="V61" s="109">
        <v>130.80000000000001</v>
      </c>
      <c r="W61" s="109">
        <v>127.8</v>
      </c>
      <c r="X61" s="110">
        <v>148.9</v>
      </c>
      <c r="Y61">
        <v>139.6</v>
      </c>
    </row>
    <row r="62" spans="1:27">
      <c r="A62" s="95" t="s">
        <v>201</v>
      </c>
      <c r="B62">
        <f>SUM(B59:B61)</f>
        <v>393.90000000000003</v>
      </c>
      <c r="C62">
        <f>SUM(C59:C61)</f>
        <v>411.1</v>
      </c>
      <c r="D62">
        <f t="shared" ref="D62:X62" si="3">SUM(D59:D61)</f>
        <v>403.9</v>
      </c>
      <c r="E62">
        <f t="shared" si="3"/>
        <v>357.6</v>
      </c>
      <c r="F62">
        <f t="shared" si="3"/>
        <v>401.1</v>
      </c>
      <c r="G62">
        <f t="shared" si="3"/>
        <v>408.5</v>
      </c>
      <c r="H62">
        <f t="shared" si="3"/>
        <v>412</v>
      </c>
      <c r="I62">
        <f t="shared" si="3"/>
        <v>413.5</v>
      </c>
      <c r="J62">
        <f t="shared" si="3"/>
        <v>398.5</v>
      </c>
      <c r="K62">
        <f t="shared" si="3"/>
        <v>409</v>
      </c>
      <c r="L62">
        <f t="shared" si="3"/>
        <v>384.59999999999997</v>
      </c>
      <c r="M62">
        <f t="shared" si="3"/>
        <v>361.7</v>
      </c>
      <c r="N62">
        <f t="shared" si="3"/>
        <v>402.6</v>
      </c>
      <c r="O62">
        <f t="shared" si="3"/>
        <v>387.3</v>
      </c>
      <c r="P62">
        <f t="shared" si="3"/>
        <v>379</v>
      </c>
      <c r="Q62">
        <f t="shared" si="3"/>
        <v>389.70000000000005</v>
      </c>
      <c r="R62">
        <f t="shared" si="3"/>
        <v>393.80000000000007</v>
      </c>
      <c r="S62">
        <f t="shared" si="3"/>
        <v>393.1</v>
      </c>
      <c r="T62">
        <f t="shared" si="3"/>
        <v>408.30000000000007</v>
      </c>
      <c r="U62">
        <f t="shared" si="3"/>
        <v>385.1</v>
      </c>
      <c r="V62">
        <f t="shared" si="3"/>
        <v>392.2</v>
      </c>
      <c r="W62">
        <f t="shared" si="3"/>
        <v>381.3</v>
      </c>
      <c r="X62">
        <f t="shared" si="3"/>
        <v>446.29999999999995</v>
      </c>
      <c r="Y62">
        <f t="shared" ref="Y62:AA62" si="4">SUM(Y59:Y61)</f>
        <v>417.70000000000005</v>
      </c>
      <c r="Z62">
        <f t="shared" si="4"/>
        <v>0</v>
      </c>
      <c r="AA62">
        <f t="shared" si="4"/>
        <v>0</v>
      </c>
    </row>
    <row r="63" spans="1:27">
      <c r="A63" s="95" t="s">
        <v>202</v>
      </c>
      <c r="B63">
        <f>SUM(B56:B58)</f>
        <v>392</v>
      </c>
      <c r="C63">
        <f>SUM(C56:C58)</f>
        <v>407.2</v>
      </c>
      <c r="D63">
        <f t="shared" ref="D63:X63" si="5">SUM(D56:D58)</f>
        <v>400.40000000000003</v>
      </c>
      <c r="E63">
        <f t="shared" si="5"/>
        <v>352.3</v>
      </c>
      <c r="F63">
        <f t="shared" si="5"/>
        <v>396.59999999999997</v>
      </c>
      <c r="G63">
        <f t="shared" si="5"/>
        <v>404.19999999999993</v>
      </c>
      <c r="H63">
        <f t="shared" si="5"/>
        <v>406.40000000000003</v>
      </c>
      <c r="I63">
        <f t="shared" si="5"/>
        <v>412.2</v>
      </c>
      <c r="J63">
        <f t="shared" si="5"/>
        <v>395.5</v>
      </c>
      <c r="K63">
        <f t="shared" si="5"/>
        <v>404.3</v>
      </c>
      <c r="L63">
        <f t="shared" si="5"/>
        <v>384.6</v>
      </c>
      <c r="M63">
        <f t="shared" si="5"/>
        <v>366.9</v>
      </c>
      <c r="N63">
        <f t="shared" si="5"/>
        <v>399.3</v>
      </c>
      <c r="O63">
        <f t="shared" si="5"/>
        <v>388.6</v>
      </c>
      <c r="P63">
        <f t="shared" si="5"/>
        <v>378.20000000000005</v>
      </c>
      <c r="Q63">
        <f t="shared" si="5"/>
        <v>388.4</v>
      </c>
      <c r="R63">
        <f t="shared" si="5"/>
        <v>392</v>
      </c>
      <c r="S63">
        <f t="shared" si="5"/>
        <v>392.90000000000003</v>
      </c>
      <c r="T63">
        <f t="shared" si="5"/>
        <v>401.1</v>
      </c>
      <c r="U63">
        <f t="shared" si="5"/>
        <v>384.79999999999995</v>
      </c>
      <c r="V63">
        <f t="shared" si="5"/>
        <v>390</v>
      </c>
      <c r="W63">
        <f t="shared" si="5"/>
        <v>376.7</v>
      </c>
      <c r="X63">
        <f t="shared" si="5"/>
        <v>444.09999999999997</v>
      </c>
      <c r="Y63">
        <f t="shared" ref="Y63:AA63" si="6">SUM(Y56:Y58)</f>
        <v>409.6</v>
      </c>
      <c r="Z63">
        <f t="shared" si="6"/>
        <v>0</v>
      </c>
      <c r="AA63">
        <f t="shared" si="6"/>
        <v>0</v>
      </c>
    </row>
    <row r="65" spans="1:27">
      <c r="B65" s="232" t="s">
        <v>40</v>
      </c>
      <c r="C65" s="232"/>
      <c r="D65" s="232"/>
    </row>
    <row r="66" spans="1:27">
      <c r="A66" s="104" cm="1">
        <f t="array" ref="A66:Y66">INDEX(INDEX,MATCH(EDATE(DATE3,-11),INDEX!A:A,0),)</f>
        <v>45717</v>
      </c>
      <c r="B66" s="43">
        <v>131.69999999999999</v>
      </c>
      <c r="C66" s="43">
        <v>135</v>
      </c>
      <c r="D66" s="43">
        <v>132.4</v>
      </c>
      <c r="E66" s="43">
        <v>118.6</v>
      </c>
      <c r="F66" s="43">
        <v>132</v>
      </c>
      <c r="G66" s="43">
        <v>134.30000000000001</v>
      </c>
      <c r="H66" s="43">
        <v>135.5</v>
      </c>
      <c r="I66" s="43">
        <v>136.1</v>
      </c>
      <c r="J66" s="43">
        <v>130.19999999999999</v>
      </c>
      <c r="K66" s="43">
        <v>133.80000000000001</v>
      </c>
      <c r="L66" s="43">
        <v>131.4</v>
      </c>
      <c r="M66" s="43">
        <v>130.80000000000001</v>
      </c>
      <c r="N66" s="43">
        <v>131.9</v>
      </c>
      <c r="O66" s="43">
        <v>131</v>
      </c>
      <c r="P66" s="43">
        <v>125.1</v>
      </c>
      <c r="Q66" s="43">
        <v>129.1</v>
      </c>
      <c r="R66" s="43">
        <v>129.80000000000001</v>
      </c>
      <c r="S66" s="43">
        <v>131.5</v>
      </c>
      <c r="T66" s="43">
        <v>132.4</v>
      </c>
      <c r="U66" s="43">
        <v>128</v>
      </c>
      <c r="V66" s="43">
        <v>128.6</v>
      </c>
      <c r="W66" s="43">
        <v>124.1</v>
      </c>
      <c r="X66" s="7">
        <v>151.69999999999999</v>
      </c>
      <c r="Y66">
        <v>136.9</v>
      </c>
    </row>
    <row r="67" spans="1:27">
      <c r="A67" s="106" cm="1">
        <f t="array" ref="A67:Y67">INDEX(INDEX,MATCH(EDATE(A66,1),INDEX!A:A,0),)</f>
        <v>45748</v>
      </c>
      <c r="B67">
        <v>131.4</v>
      </c>
      <c r="C67">
        <v>135.5</v>
      </c>
      <c r="D67">
        <v>132.80000000000001</v>
      </c>
      <c r="E67">
        <v>119.5</v>
      </c>
      <c r="F67">
        <v>132.6</v>
      </c>
      <c r="G67">
        <v>134.9</v>
      </c>
      <c r="H67">
        <v>135.9</v>
      </c>
      <c r="I67">
        <v>135.1</v>
      </c>
      <c r="J67">
        <v>130.4</v>
      </c>
      <c r="K67">
        <v>134.5</v>
      </c>
      <c r="L67">
        <v>130.5</v>
      </c>
      <c r="M67">
        <v>128.5</v>
      </c>
      <c r="N67">
        <v>132.4</v>
      </c>
      <c r="O67">
        <v>131.1</v>
      </c>
      <c r="P67">
        <v>125.2</v>
      </c>
      <c r="Q67">
        <v>129</v>
      </c>
      <c r="R67">
        <v>130.1</v>
      </c>
      <c r="S67">
        <v>130.69999999999999</v>
      </c>
      <c r="T67">
        <v>132.69999999999999</v>
      </c>
      <c r="U67">
        <v>127.5</v>
      </c>
      <c r="V67">
        <v>128.69999999999999</v>
      </c>
      <c r="W67">
        <v>124.1</v>
      </c>
      <c r="X67" s="107">
        <v>145</v>
      </c>
      <c r="Y67">
        <v>136.4</v>
      </c>
    </row>
    <row r="68" spans="1:27">
      <c r="A68" s="106" cm="1">
        <f t="array" ref="A68:Y68">INDEX(INDEX,MATCH(EDATE(A67,1),INDEX!A:A,0),)</f>
        <v>45778</v>
      </c>
      <c r="B68">
        <v>130.69999999999999</v>
      </c>
      <c r="C68">
        <v>135.30000000000001</v>
      </c>
      <c r="D68">
        <v>132.9</v>
      </c>
      <c r="E68">
        <v>117.5</v>
      </c>
      <c r="F68">
        <v>132.30000000000001</v>
      </c>
      <c r="G68">
        <v>134.4</v>
      </c>
      <c r="H68">
        <v>135.1</v>
      </c>
      <c r="I68">
        <v>134.4</v>
      </c>
      <c r="J68">
        <v>130.4</v>
      </c>
      <c r="K68">
        <v>134.80000000000001</v>
      </c>
      <c r="L68">
        <v>128.80000000000001</v>
      </c>
      <c r="M68">
        <v>125.1</v>
      </c>
      <c r="N68">
        <v>132.6</v>
      </c>
      <c r="O68">
        <v>130.9</v>
      </c>
      <c r="P68">
        <v>125.4</v>
      </c>
      <c r="Q68">
        <v>129.69999999999999</v>
      </c>
      <c r="R68">
        <v>130.4</v>
      </c>
      <c r="S68">
        <v>131.9</v>
      </c>
      <c r="T68">
        <v>132.69999999999999</v>
      </c>
      <c r="U68">
        <v>127.8</v>
      </c>
      <c r="V68">
        <v>128.9</v>
      </c>
      <c r="W68">
        <v>124.1</v>
      </c>
      <c r="X68" s="107">
        <v>146.30000000000001</v>
      </c>
      <c r="Y68">
        <v>135.30000000000001</v>
      </c>
    </row>
    <row r="69" spans="1:27">
      <c r="A69" s="106" cm="1">
        <f t="array" ref="A69:Y69">INDEX(INDEX,MATCH(EDATE(A68,1),INDEX!A:A,0),)</f>
        <v>45809</v>
      </c>
      <c r="B69">
        <v>130.5</v>
      </c>
      <c r="C69">
        <v>135</v>
      </c>
      <c r="D69">
        <v>132.9</v>
      </c>
      <c r="E69">
        <v>117.8</v>
      </c>
      <c r="F69">
        <v>132</v>
      </c>
      <c r="G69">
        <v>134</v>
      </c>
      <c r="H69">
        <v>134.5</v>
      </c>
      <c r="I69">
        <v>136</v>
      </c>
      <c r="J69">
        <v>130.9</v>
      </c>
      <c r="K69">
        <v>134.6</v>
      </c>
      <c r="L69">
        <v>128.4</v>
      </c>
      <c r="M69">
        <v>124.2</v>
      </c>
      <c r="N69">
        <v>132.30000000000001</v>
      </c>
      <c r="O69">
        <v>131</v>
      </c>
      <c r="P69">
        <v>125.3</v>
      </c>
      <c r="Q69">
        <v>129.30000000000001</v>
      </c>
      <c r="R69">
        <v>130.5</v>
      </c>
      <c r="S69">
        <v>131.4</v>
      </c>
      <c r="T69">
        <v>132.5</v>
      </c>
      <c r="U69">
        <v>128.30000000000001</v>
      </c>
      <c r="V69">
        <v>129.4</v>
      </c>
      <c r="W69">
        <v>124.1</v>
      </c>
      <c r="X69" s="107">
        <v>147.69999999999999</v>
      </c>
      <c r="Y69">
        <v>134.80000000000001</v>
      </c>
    </row>
    <row r="70" spans="1:27">
      <c r="A70" s="106" cm="1">
        <f t="array" ref="A70:Y70">INDEX(INDEX,MATCH(EDATE(A69,1),INDEX!A:A,0),)</f>
        <v>45839</v>
      </c>
      <c r="B70">
        <v>131</v>
      </c>
      <c r="C70">
        <v>135.19999999999999</v>
      </c>
      <c r="D70">
        <v>133.1</v>
      </c>
      <c r="E70">
        <v>117.6</v>
      </c>
      <c r="F70">
        <v>132.1</v>
      </c>
      <c r="G70">
        <v>134.30000000000001</v>
      </c>
      <c r="H70">
        <v>134.69999999999999</v>
      </c>
      <c r="I70">
        <v>136.9</v>
      </c>
      <c r="J70">
        <v>131.30000000000001</v>
      </c>
      <c r="K70">
        <v>134.80000000000001</v>
      </c>
      <c r="L70">
        <v>129.4</v>
      </c>
      <c r="M70">
        <v>125.8</v>
      </c>
      <c r="N70">
        <v>132.4</v>
      </c>
      <c r="O70">
        <v>130.6</v>
      </c>
      <c r="P70">
        <v>125.4</v>
      </c>
      <c r="Q70">
        <v>129.4</v>
      </c>
      <c r="R70">
        <v>130.30000000000001</v>
      </c>
      <c r="S70">
        <v>131.4</v>
      </c>
      <c r="T70">
        <v>133</v>
      </c>
      <c r="U70">
        <v>128.19999999999999</v>
      </c>
      <c r="V70">
        <v>129.69999999999999</v>
      </c>
      <c r="W70">
        <v>124.4</v>
      </c>
      <c r="X70" s="107">
        <v>153.4</v>
      </c>
      <c r="Y70">
        <v>135.1</v>
      </c>
    </row>
    <row r="71" spans="1:27">
      <c r="A71" s="106" cm="1">
        <f t="array" ref="A71:Y71">INDEX(INDEX,MATCH(EDATE(A70,1),INDEX!A:A,0),)</f>
        <v>45870</v>
      </c>
      <c r="B71">
        <v>131.4</v>
      </c>
      <c r="C71">
        <v>136.1</v>
      </c>
      <c r="D71">
        <v>133.80000000000001</v>
      </c>
      <c r="E71">
        <v>118.2</v>
      </c>
      <c r="F71">
        <v>132.69999999999999</v>
      </c>
      <c r="G71">
        <v>135.19999999999999</v>
      </c>
      <c r="H71">
        <v>136</v>
      </c>
      <c r="I71">
        <v>137.6</v>
      </c>
      <c r="J71">
        <v>132.19999999999999</v>
      </c>
      <c r="K71">
        <v>135.19999999999999</v>
      </c>
      <c r="L71">
        <v>129.30000000000001</v>
      </c>
      <c r="M71">
        <v>124.3</v>
      </c>
      <c r="N71">
        <v>133.5</v>
      </c>
      <c r="O71">
        <v>130.5</v>
      </c>
      <c r="P71">
        <v>126.3</v>
      </c>
      <c r="Q71">
        <v>130.19999999999999</v>
      </c>
      <c r="R71">
        <v>131.19999999999999</v>
      </c>
      <c r="S71">
        <v>131.80000000000001</v>
      </c>
      <c r="T71">
        <v>133.80000000000001</v>
      </c>
      <c r="U71">
        <v>128.19999999999999</v>
      </c>
      <c r="V71">
        <v>130</v>
      </c>
      <c r="W71">
        <v>125.3</v>
      </c>
      <c r="X71" s="107">
        <v>153.9</v>
      </c>
      <c r="Y71">
        <v>136.1</v>
      </c>
    </row>
    <row r="72" spans="1:27">
      <c r="A72" s="106" cm="1">
        <f t="array" ref="A72:Y72">INDEX(INDEX,MATCH(EDATE(A71,1),INDEX!A:A,0),)</f>
        <v>45901</v>
      </c>
      <c r="B72">
        <v>130.69999999999999</v>
      </c>
      <c r="C72">
        <v>135.69999999999999</v>
      </c>
      <c r="D72">
        <v>133.4</v>
      </c>
      <c r="E72">
        <v>117</v>
      </c>
      <c r="F72">
        <v>132.19999999999999</v>
      </c>
      <c r="G72">
        <v>134.6</v>
      </c>
      <c r="H72">
        <v>135.30000000000001</v>
      </c>
      <c r="I72">
        <v>136.80000000000001</v>
      </c>
      <c r="J72">
        <v>131.80000000000001</v>
      </c>
      <c r="K72">
        <v>134.9</v>
      </c>
      <c r="L72">
        <v>128.19999999999999</v>
      </c>
      <c r="M72">
        <v>122.6</v>
      </c>
      <c r="N72">
        <v>132.9</v>
      </c>
      <c r="O72">
        <v>129.69999999999999</v>
      </c>
      <c r="P72">
        <v>125.8</v>
      </c>
      <c r="Q72">
        <v>129.6</v>
      </c>
      <c r="R72">
        <v>130.80000000000001</v>
      </c>
      <c r="S72">
        <v>131.30000000000001</v>
      </c>
      <c r="T72">
        <v>133.6</v>
      </c>
      <c r="U72">
        <v>128.19999999999999</v>
      </c>
      <c r="V72">
        <v>129.9</v>
      </c>
      <c r="W72">
        <v>125.6</v>
      </c>
      <c r="X72" s="107">
        <v>151.80000000000001</v>
      </c>
      <c r="Y72">
        <v>136.1</v>
      </c>
    </row>
    <row r="73" spans="1:27">
      <c r="A73" s="106" cm="1">
        <f t="array" ref="A73:Y73">INDEX(INDEX,MATCH(EDATE(A72,1),INDEX!A:A,0),)</f>
        <v>45931</v>
      </c>
      <c r="B73">
        <v>130.5</v>
      </c>
      <c r="C73">
        <v>135.69999999999999</v>
      </c>
      <c r="D73">
        <v>133.30000000000001</v>
      </c>
      <c r="E73">
        <v>117</v>
      </c>
      <c r="F73">
        <v>132.1</v>
      </c>
      <c r="G73">
        <v>134.69999999999999</v>
      </c>
      <c r="H73">
        <v>135.4</v>
      </c>
      <c r="I73">
        <v>136.69999999999999</v>
      </c>
      <c r="J73">
        <v>131.6</v>
      </c>
      <c r="K73">
        <v>134.69999999999999</v>
      </c>
      <c r="L73">
        <v>128</v>
      </c>
      <c r="M73">
        <v>121.7</v>
      </c>
      <c r="N73">
        <v>133.1</v>
      </c>
      <c r="O73">
        <v>129.80000000000001</v>
      </c>
      <c r="P73">
        <v>126</v>
      </c>
      <c r="Q73">
        <v>129.4</v>
      </c>
      <c r="R73">
        <v>130.5</v>
      </c>
      <c r="S73">
        <v>130.9</v>
      </c>
      <c r="T73">
        <v>133.5</v>
      </c>
      <c r="U73">
        <v>128.19999999999999</v>
      </c>
      <c r="V73">
        <v>130</v>
      </c>
      <c r="W73">
        <v>125.4</v>
      </c>
      <c r="X73" s="107">
        <v>145.6</v>
      </c>
      <c r="Y73">
        <v>136.4</v>
      </c>
    </row>
    <row r="74" spans="1:27">
      <c r="A74" s="106" cm="1">
        <f t="array" ref="A74:Y74">INDEX(INDEX,MATCH(EDATE(A73,1),INDEX!A:A,0),)</f>
        <v>45962</v>
      </c>
      <c r="B74">
        <v>130.80000000000001</v>
      </c>
      <c r="C74">
        <v>135.80000000000001</v>
      </c>
      <c r="D74">
        <v>133.69999999999999</v>
      </c>
      <c r="E74">
        <v>118.3</v>
      </c>
      <c r="F74">
        <v>132.30000000000001</v>
      </c>
      <c r="G74">
        <v>134.9</v>
      </c>
      <c r="H74">
        <v>135.69999999999999</v>
      </c>
      <c r="I74">
        <v>138.69999999999999</v>
      </c>
      <c r="J74">
        <v>132.1</v>
      </c>
      <c r="K74">
        <v>134.69999999999999</v>
      </c>
      <c r="L74">
        <v>128.4</v>
      </c>
      <c r="M74">
        <v>122.6</v>
      </c>
      <c r="N74">
        <v>133.30000000000001</v>
      </c>
      <c r="O74">
        <v>129.1</v>
      </c>
      <c r="P74">
        <v>126.4</v>
      </c>
      <c r="Q74">
        <v>129.4</v>
      </c>
      <c r="R74">
        <v>130.69999999999999</v>
      </c>
      <c r="S74">
        <v>130.69999999999999</v>
      </c>
      <c r="T74">
        <v>134</v>
      </c>
      <c r="U74">
        <v>128.4</v>
      </c>
      <c r="V74">
        <v>130.1</v>
      </c>
      <c r="W74">
        <v>125.7</v>
      </c>
      <c r="X74" s="107">
        <v>146.69999999999999</v>
      </c>
      <c r="Y74">
        <v>137.1</v>
      </c>
    </row>
    <row r="75" spans="1:27">
      <c r="A75" s="106" cm="1">
        <f t="array" ref="A75:Y75">INDEX(INDEX,MATCH(EDATE(A74,1),INDEX!A:A,0),)</f>
        <v>45992</v>
      </c>
      <c r="B75">
        <v>130.30000000000001</v>
      </c>
      <c r="C75">
        <v>136.1</v>
      </c>
      <c r="D75">
        <v>133.1</v>
      </c>
      <c r="E75">
        <v>117.8</v>
      </c>
      <c r="F75">
        <v>132.5</v>
      </c>
      <c r="G75">
        <v>135.19999999999999</v>
      </c>
      <c r="H75">
        <v>136.4</v>
      </c>
      <c r="I75">
        <v>135.6</v>
      </c>
      <c r="J75">
        <v>131</v>
      </c>
      <c r="K75">
        <v>134.69999999999999</v>
      </c>
      <c r="L75">
        <v>127.6</v>
      </c>
      <c r="M75">
        <v>120.5</v>
      </c>
      <c r="N75">
        <v>133.30000000000001</v>
      </c>
      <c r="O75">
        <v>128.5</v>
      </c>
      <c r="P75">
        <v>125.5</v>
      </c>
      <c r="Q75">
        <v>129.1</v>
      </c>
      <c r="R75">
        <v>130.30000000000001</v>
      </c>
      <c r="S75">
        <v>130.4</v>
      </c>
      <c r="T75">
        <v>134.30000000000001</v>
      </c>
      <c r="U75">
        <v>127.7</v>
      </c>
      <c r="V75">
        <v>130.19999999999999</v>
      </c>
      <c r="W75">
        <v>126.1</v>
      </c>
      <c r="X75" s="107">
        <v>149.69999999999999</v>
      </c>
      <c r="Y75">
        <v>138.4</v>
      </c>
    </row>
    <row r="76" spans="1:27">
      <c r="A76" s="106" cm="1">
        <f t="array" ref="A76:Y76">INDEX(INDEX,MATCH(EDATE(A75,1),INDEX!A:A,0),)</f>
        <v>46023</v>
      </c>
      <c r="B76">
        <v>131.4</v>
      </c>
      <c r="C76">
        <v>137.5</v>
      </c>
      <c r="D76">
        <v>135.1</v>
      </c>
      <c r="E76">
        <v>119.7</v>
      </c>
      <c r="F76">
        <v>134.30000000000001</v>
      </c>
      <c r="G76">
        <v>136.69999999999999</v>
      </c>
      <c r="H76">
        <v>138</v>
      </c>
      <c r="I76">
        <v>138.6</v>
      </c>
      <c r="J76">
        <v>133.5</v>
      </c>
      <c r="K76">
        <v>136.80000000000001</v>
      </c>
      <c r="L76">
        <v>127.8</v>
      </c>
      <c r="M76">
        <v>119.5</v>
      </c>
      <c r="N76">
        <v>134.4</v>
      </c>
      <c r="O76">
        <v>129.30000000000001</v>
      </c>
      <c r="P76">
        <v>127.2</v>
      </c>
      <c r="Q76">
        <v>130</v>
      </c>
      <c r="R76">
        <v>131.4</v>
      </c>
      <c r="S76">
        <v>130.9</v>
      </c>
      <c r="T76">
        <v>136.4</v>
      </c>
      <c r="U76">
        <v>129.80000000000001</v>
      </c>
      <c r="V76">
        <v>131.19999999999999</v>
      </c>
      <c r="W76">
        <v>127.4</v>
      </c>
      <c r="X76" s="107">
        <v>147.69999999999999</v>
      </c>
      <c r="Y76">
        <v>139.69999999999999</v>
      </c>
    </row>
    <row r="77" spans="1:27">
      <c r="A77" s="108" cm="1">
        <f t="array" ref="A77:Y77">INDEX(INDEX,MATCH(EDATE(A76,1),INDEX!A:A,0),)</f>
        <v>46054</v>
      </c>
      <c r="B77" s="109">
        <v>132.19999999999999</v>
      </c>
      <c r="C77" s="109">
        <v>137.5</v>
      </c>
      <c r="D77" s="109">
        <v>135.69999999999999</v>
      </c>
      <c r="E77" s="109">
        <v>120.1</v>
      </c>
      <c r="F77" s="109">
        <v>134.30000000000001</v>
      </c>
      <c r="G77" s="109">
        <v>136.6</v>
      </c>
      <c r="H77" s="109">
        <v>137.6</v>
      </c>
      <c r="I77" s="109">
        <v>139.30000000000001</v>
      </c>
      <c r="J77" s="109">
        <v>134</v>
      </c>
      <c r="K77" s="109">
        <v>137.5</v>
      </c>
      <c r="L77" s="109">
        <v>129.19999999999999</v>
      </c>
      <c r="M77" s="109">
        <v>121.7</v>
      </c>
      <c r="N77" s="109">
        <v>134.9</v>
      </c>
      <c r="O77" s="109">
        <v>129.5</v>
      </c>
      <c r="P77" s="109">
        <v>126.3</v>
      </c>
      <c r="Q77" s="109">
        <v>130.6</v>
      </c>
      <c r="R77" s="109">
        <v>132.1</v>
      </c>
      <c r="S77" s="109">
        <v>131.80000000000001</v>
      </c>
      <c r="T77" s="109">
        <v>137.6</v>
      </c>
      <c r="U77" s="109">
        <v>127.6</v>
      </c>
      <c r="V77" s="109">
        <v>130.80000000000001</v>
      </c>
      <c r="W77" s="109">
        <v>127.8</v>
      </c>
      <c r="X77" s="110">
        <v>148.9</v>
      </c>
      <c r="Y77">
        <v>139.6</v>
      </c>
    </row>
    <row r="78" spans="1:27">
      <c r="A78" s="95" t="s">
        <v>201</v>
      </c>
      <c r="B78">
        <f>SUM(B72:B77)</f>
        <v>785.89999999999986</v>
      </c>
      <c r="C78">
        <f t="shared" ref="C78:X78" si="7">SUM(C72:C77)</f>
        <v>818.3</v>
      </c>
      <c r="D78">
        <f t="shared" si="7"/>
        <v>804.3</v>
      </c>
      <c r="E78">
        <f t="shared" si="7"/>
        <v>709.90000000000009</v>
      </c>
      <c r="F78">
        <f t="shared" si="7"/>
        <v>797.69999999999982</v>
      </c>
      <c r="G78">
        <f t="shared" si="7"/>
        <v>812.69999999999993</v>
      </c>
      <c r="H78">
        <f t="shared" si="7"/>
        <v>818.40000000000009</v>
      </c>
      <c r="I78">
        <f t="shared" si="7"/>
        <v>825.7</v>
      </c>
      <c r="J78">
        <f t="shared" si="7"/>
        <v>794</v>
      </c>
      <c r="K78">
        <f t="shared" si="7"/>
        <v>813.3</v>
      </c>
      <c r="L78">
        <f t="shared" si="7"/>
        <v>769.2</v>
      </c>
      <c r="M78">
        <f t="shared" si="7"/>
        <v>728.6</v>
      </c>
      <c r="N78">
        <f t="shared" si="7"/>
        <v>801.9</v>
      </c>
      <c r="O78">
        <f t="shared" si="7"/>
        <v>775.90000000000009</v>
      </c>
      <c r="P78">
        <f t="shared" si="7"/>
        <v>757.2</v>
      </c>
      <c r="Q78">
        <f t="shared" si="7"/>
        <v>778.1</v>
      </c>
      <c r="R78">
        <f t="shared" si="7"/>
        <v>785.8</v>
      </c>
      <c r="S78">
        <f t="shared" si="7"/>
        <v>786</v>
      </c>
      <c r="T78">
        <f t="shared" si="7"/>
        <v>809.40000000000009</v>
      </c>
      <c r="U78">
        <f t="shared" si="7"/>
        <v>769.9</v>
      </c>
      <c r="V78">
        <f t="shared" si="7"/>
        <v>782.2</v>
      </c>
      <c r="W78">
        <f t="shared" si="7"/>
        <v>757.99999999999989</v>
      </c>
      <c r="X78">
        <f t="shared" si="7"/>
        <v>890.4</v>
      </c>
      <c r="Y78">
        <f t="shared" ref="Y78:AA78" si="8">SUM(Y72:Y77)</f>
        <v>827.30000000000007</v>
      </c>
      <c r="Z78">
        <f t="shared" si="8"/>
        <v>0</v>
      </c>
      <c r="AA78">
        <f t="shared" si="8"/>
        <v>0</v>
      </c>
    </row>
    <row r="79" spans="1:27">
      <c r="A79" s="95" t="s">
        <v>202</v>
      </c>
      <c r="B79">
        <f>SUM(B66:B71)</f>
        <v>786.69999999999993</v>
      </c>
      <c r="C79">
        <f t="shared" ref="C79:X79" si="9">SUM(C66:C71)</f>
        <v>812.1</v>
      </c>
      <c r="D79">
        <f t="shared" si="9"/>
        <v>797.90000000000009</v>
      </c>
      <c r="E79">
        <f t="shared" si="9"/>
        <v>709.2</v>
      </c>
      <c r="F79">
        <f t="shared" si="9"/>
        <v>793.7</v>
      </c>
      <c r="G79">
        <f t="shared" si="9"/>
        <v>807.10000000000014</v>
      </c>
      <c r="H79">
        <f t="shared" si="9"/>
        <v>811.7</v>
      </c>
      <c r="I79">
        <f t="shared" si="9"/>
        <v>816.1</v>
      </c>
      <c r="J79">
        <f t="shared" si="9"/>
        <v>785.40000000000009</v>
      </c>
      <c r="K79">
        <f t="shared" si="9"/>
        <v>807.7</v>
      </c>
      <c r="L79">
        <f t="shared" si="9"/>
        <v>777.8</v>
      </c>
      <c r="M79">
        <f t="shared" si="9"/>
        <v>758.69999999999993</v>
      </c>
      <c r="N79">
        <f t="shared" si="9"/>
        <v>795.1</v>
      </c>
      <c r="O79">
        <f t="shared" si="9"/>
        <v>785.1</v>
      </c>
      <c r="P79">
        <f t="shared" si="9"/>
        <v>752.7</v>
      </c>
      <c r="Q79">
        <f t="shared" si="9"/>
        <v>776.7</v>
      </c>
      <c r="R79">
        <f t="shared" si="9"/>
        <v>782.3</v>
      </c>
      <c r="S79">
        <f t="shared" si="9"/>
        <v>788.7</v>
      </c>
      <c r="T79">
        <f t="shared" si="9"/>
        <v>797.09999999999991</v>
      </c>
      <c r="U79">
        <f t="shared" si="9"/>
        <v>768</v>
      </c>
      <c r="V79">
        <f t="shared" si="9"/>
        <v>775.3</v>
      </c>
      <c r="W79">
        <f t="shared" si="9"/>
        <v>746.09999999999991</v>
      </c>
      <c r="X79">
        <f t="shared" si="9"/>
        <v>898</v>
      </c>
      <c r="Y79">
        <f t="shared" ref="Y79:AA79" si="10">SUM(Y66:Y71)</f>
        <v>814.60000000000014</v>
      </c>
      <c r="Z79">
        <f t="shared" si="10"/>
        <v>0</v>
      </c>
      <c r="AA79">
        <f t="shared" si="10"/>
        <v>0</v>
      </c>
    </row>
    <row r="81" spans="1:25" ht="18.75">
      <c r="B81" s="230" t="s">
        <v>180</v>
      </c>
      <c r="C81" s="230"/>
      <c r="D81" s="230"/>
      <c r="E81" s="230"/>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46054</v>
      </c>
      <c r="B83">
        <v>132.19999999999999</v>
      </c>
      <c r="C83">
        <v>137.5</v>
      </c>
      <c r="D83">
        <v>135.69999999999999</v>
      </c>
      <c r="E83">
        <v>120.1</v>
      </c>
      <c r="F83">
        <v>134.30000000000001</v>
      </c>
      <c r="G83">
        <v>136.6</v>
      </c>
      <c r="H83">
        <v>137.6</v>
      </c>
      <c r="I83">
        <v>139.30000000000001</v>
      </c>
      <c r="J83">
        <v>134</v>
      </c>
      <c r="K83">
        <v>137.5</v>
      </c>
      <c r="L83">
        <v>129.19999999999999</v>
      </c>
      <c r="M83">
        <v>121.7</v>
      </c>
      <c r="N83">
        <v>134.9</v>
      </c>
      <c r="O83">
        <v>129.5</v>
      </c>
      <c r="P83">
        <v>126.3</v>
      </c>
      <c r="Q83">
        <v>130.6</v>
      </c>
      <c r="R83">
        <v>132.1</v>
      </c>
      <c r="S83">
        <v>131.80000000000001</v>
      </c>
      <c r="T83">
        <v>137.6</v>
      </c>
      <c r="U83">
        <v>127.6</v>
      </c>
      <c r="V83">
        <v>130.80000000000001</v>
      </c>
      <c r="W83">
        <v>127.8</v>
      </c>
      <c r="X83">
        <v>148.9</v>
      </c>
      <c r="Y83">
        <v>139.6</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8" t="s">
        <v>196</v>
      </c>
      <c r="C1" s="238"/>
      <c r="D1" s="238"/>
      <c r="E1" s="238"/>
      <c r="F1" s="238"/>
    </row>
    <row r="2" spans="1:42" ht="15" customHeight="1">
      <c r="B2" s="238"/>
      <c r="C2" s="238"/>
      <c r="D2" s="238"/>
      <c r="E2" s="238"/>
      <c r="F2" s="238"/>
    </row>
    <row r="3" spans="1:42">
      <c r="B3" t="s">
        <v>115</v>
      </c>
      <c r="C3" t="s">
        <v>116</v>
      </c>
      <c r="D3" t="s">
        <v>117</v>
      </c>
      <c r="E3" t="s">
        <v>316</v>
      </c>
      <c r="F3" t="s">
        <v>118</v>
      </c>
      <c r="G3" t="s">
        <v>119</v>
      </c>
      <c r="H3" t="s">
        <v>120</v>
      </c>
      <c r="I3" t="s">
        <v>121</v>
      </c>
      <c r="J3" t="s">
        <v>263</v>
      </c>
      <c r="K3" t="s">
        <v>55</v>
      </c>
      <c r="L3" t="s">
        <v>122</v>
      </c>
      <c r="M3" t="s">
        <v>123</v>
      </c>
      <c r="N3" t="s">
        <v>124</v>
      </c>
      <c r="O3" t="s">
        <v>125</v>
      </c>
      <c r="P3" t="s">
        <v>126</v>
      </c>
      <c r="Q3" t="s">
        <v>127</v>
      </c>
      <c r="R3" t="s">
        <v>128</v>
      </c>
      <c r="S3" t="s">
        <v>258</v>
      </c>
      <c r="T3" t="s">
        <v>129</v>
      </c>
      <c r="U3" t="s">
        <v>130</v>
      </c>
      <c r="V3" t="s">
        <v>131</v>
      </c>
      <c r="W3" t="s">
        <v>132</v>
      </c>
      <c r="X3" t="s">
        <v>133</v>
      </c>
      <c r="Y3" t="s">
        <v>134</v>
      </c>
      <c r="Z3" t="s">
        <v>266</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30" t="s">
        <v>242</v>
      </c>
      <c r="C5" s="230"/>
      <c r="D5" s="230"/>
      <c r="E5" s="230"/>
    </row>
    <row r="6" spans="1:42">
      <c r="B6" s="237" t="s">
        <v>197</v>
      </c>
      <c r="C6" s="237"/>
      <c r="D6" s="237"/>
    </row>
    <row r="7" spans="1:42">
      <c r="A7" s="104" cm="1">
        <f t="array" ref="A7:AN7">IF(DATE(YEAR(DATE3),1,1)&lt;=DATE3,INDEX(INDICES,MATCH(DATE(YEAR(DATE3),1,1),'INDICES PRIX'!A:A,0),),"")</f>
        <v>46023</v>
      </c>
      <c r="B7" s="43">
        <v>127.6</v>
      </c>
      <c r="C7" s="43">
        <v>141.80000000000001</v>
      </c>
      <c r="D7" s="43">
        <v>137.69999999999999</v>
      </c>
      <c r="E7" s="43">
        <v>150.1</v>
      </c>
      <c r="F7" s="43">
        <v>100.91</v>
      </c>
      <c r="G7" s="43">
        <v>118</v>
      </c>
      <c r="H7" s="43">
        <v>125.7</v>
      </c>
      <c r="I7" s="43">
        <v>154.19999999999999</v>
      </c>
      <c r="J7" s="43">
        <v>71.400000000000006</v>
      </c>
      <c r="K7" s="43">
        <v>133.73804474216251</v>
      </c>
      <c r="L7" s="43">
        <v>100.1</v>
      </c>
      <c r="M7" s="43">
        <v>113.9</v>
      </c>
      <c r="N7" s="43">
        <v>133.80000000000001</v>
      </c>
      <c r="O7" s="43">
        <v>85.5</v>
      </c>
      <c r="P7" s="43">
        <v>116.4</v>
      </c>
      <c r="Q7" s="43">
        <v>104.2</v>
      </c>
      <c r="R7" s="43">
        <v>150.4</v>
      </c>
      <c r="S7" s="43">
        <v>112.4</v>
      </c>
      <c r="T7" s="43">
        <v>89.6</v>
      </c>
      <c r="U7" s="43">
        <v>96.9</v>
      </c>
      <c r="V7" s="43">
        <v>126.8</v>
      </c>
      <c r="W7" s="43">
        <v>115.1</v>
      </c>
      <c r="X7" s="43">
        <v>127.5</v>
      </c>
      <c r="Y7" s="43">
        <v>138.1</v>
      </c>
      <c r="Z7" s="43">
        <v>127.9</v>
      </c>
      <c r="AA7" s="43">
        <v>118.5</v>
      </c>
      <c r="AB7" s="43">
        <v>83.8</v>
      </c>
      <c r="AC7" s="43">
        <v>122.9</v>
      </c>
      <c r="AD7" s="43">
        <v>118.9</v>
      </c>
      <c r="AE7" s="43">
        <v>125.5</v>
      </c>
      <c r="AF7" s="43">
        <v>128</v>
      </c>
      <c r="AG7" s="43">
        <v>134.9</v>
      </c>
      <c r="AH7" s="43">
        <v>107.3</v>
      </c>
      <c r="AI7" s="43">
        <v>82.7</v>
      </c>
      <c r="AJ7" s="43">
        <v>131.19999999999999</v>
      </c>
      <c r="AK7" s="43">
        <v>93</v>
      </c>
      <c r="AL7" s="43">
        <v>82.7</v>
      </c>
      <c r="AM7" s="43">
        <v>118.5</v>
      </c>
      <c r="AN7" s="43">
        <v>110.3</v>
      </c>
      <c r="AO7" s="43"/>
      <c r="AP7" s="7"/>
    </row>
    <row r="8" spans="1:42">
      <c r="A8" s="106" cm="1">
        <f t="array" ref="A8:AN8">IF(A7&lt;DATE3,INDEX(INDICES,MATCH(EDATE(A7,1),'INDICES PRIX'!A:A,0),),"")</f>
        <v>46054</v>
      </c>
      <c r="B8">
        <v>125.6</v>
      </c>
      <c r="C8">
        <v>141.80000000000001</v>
      </c>
      <c r="D8">
        <v>137.69999999999999</v>
      </c>
      <c r="E8">
        <v>157.19999999999999</v>
      </c>
      <c r="F8">
        <v>103.42</v>
      </c>
      <c r="G8">
        <v>119.2</v>
      </c>
      <c r="H8">
        <v>125.7</v>
      </c>
      <c r="I8">
        <v>147.6</v>
      </c>
      <c r="J8">
        <v>80.7</v>
      </c>
      <c r="K8">
        <v>139.37546497387086</v>
      </c>
      <c r="L8">
        <v>101.1</v>
      </c>
      <c r="M8">
        <v>113.8</v>
      </c>
      <c r="N8">
        <v>133.19999999999999</v>
      </c>
      <c r="O8">
        <v>86.1</v>
      </c>
      <c r="P8">
        <v>118.3</v>
      </c>
      <c r="Q8">
        <v>103.7</v>
      </c>
      <c r="R8">
        <v>149.19999999999999</v>
      </c>
      <c r="S8">
        <v>112.3</v>
      </c>
      <c r="T8">
        <v>89.6</v>
      </c>
      <c r="U8">
        <v>100.5</v>
      </c>
      <c r="V8">
        <v>128.5</v>
      </c>
      <c r="W8">
        <v>114.1</v>
      </c>
      <c r="X8">
        <v>129.19999999999999</v>
      </c>
      <c r="Y8">
        <v>138.1</v>
      </c>
      <c r="Z8">
        <v>127.9</v>
      </c>
      <c r="AA8">
        <v>118.5</v>
      </c>
      <c r="AB8">
        <v>84.4</v>
      </c>
      <c r="AC8">
        <v>117.7</v>
      </c>
      <c r="AD8">
        <v>119.9</v>
      </c>
      <c r="AE8">
        <v>125.5</v>
      </c>
      <c r="AF8">
        <v>128.9</v>
      </c>
      <c r="AG8">
        <v>136.80000000000001</v>
      </c>
      <c r="AH8">
        <v>104.4</v>
      </c>
      <c r="AI8">
        <v>82.6</v>
      </c>
      <c r="AJ8">
        <v>130.80000000000001</v>
      </c>
      <c r="AK8">
        <v>94.6</v>
      </c>
      <c r="AL8">
        <v>84.2</v>
      </c>
      <c r="AM8">
        <v>118.5</v>
      </c>
      <c r="AN8">
        <v>111.4</v>
      </c>
      <c r="AP8" s="107"/>
    </row>
    <row r="9" spans="1:42">
      <c r="A9" s="106" t="str" cm="1">
        <f t="array" ref="A9">IF(A8&lt;DATE3,INDEX(INDICES,MATCH(EDATE(A8,1),'INDICES PRIX'!A:A,0),),"")</f>
        <v/>
      </c>
      <c r="AP9" s="107"/>
    </row>
    <row r="10" spans="1:42">
      <c r="A10" s="106" t="str" cm="1">
        <f t="array" ref="A10">IF(A9&lt;DATE3,INDEX(INDICES,MATCH(EDATE(A9,1),'INDICES PRIX'!A:A,0),),"")</f>
        <v/>
      </c>
      <c r="AP10" s="107"/>
    </row>
    <row r="11" spans="1:42">
      <c r="A11" s="106" t="str" cm="1">
        <f t="array" ref="A11">IF(A10&lt;DATE3,INDEX(INDICES,MATCH(EDATE(A10,1),'INDICES PRIX'!A:A,0),),"")</f>
        <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253.2</v>
      </c>
      <c r="C20">
        <f t="shared" ref="C20:AP20" si="0">SUM(C7:C19)</f>
        <v>283.60000000000002</v>
      </c>
      <c r="D20">
        <f t="shared" si="0"/>
        <v>275.39999999999998</v>
      </c>
      <c r="E20">
        <f t="shared" si="0"/>
        <v>307.29999999999995</v>
      </c>
      <c r="F20">
        <f t="shared" si="0"/>
        <v>204.32999999999998</v>
      </c>
      <c r="G20">
        <f t="shared" si="0"/>
        <v>237.2</v>
      </c>
      <c r="H20">
        <f t="shared" si="0"/>
        <v>251.4</v>
      </c>
      <c r="I20">
        <f t="shared" si="0"/>
        <v>301.79999999999995</v>
      </c>
      <c r="J20">
        <f t="shared" si="0"/>
        <v>152.10000000000002</v>
      </c>
      <c r="K20">
        <f t="shared" si="0"/>
        <v>273.11350971603338</v>
      </c>
      <c r="L20">
        <f t="shared" si="0"/>
        <v>201.2</v>
      </c>
      <c r="M20">
        <f t="shared" si="0"/>
        <v>227.7</v>
      </c>
      <c r="N20">
        <f t="shared" si="0"/>
        <v>267</v>
      </c>
      <c r="O20">
        <f t="shared" si="0"/>
        <v>171.6</v>
      </c>
      <c r="P20">
        <f t="shared" si="0"/>
        <v>234.7</v>
      </c>
      <c r="Q20">
        <f t="shared" si="0"/>
        <v>207.9</v>
      </c>
      <c r="R20">
        <f t="shared" si="0"/>
        <v>299.60000000000002</v>
      </c>
      <c r="S20">
        <f t="shared" si="0"/>
        <v>224.7</v>
      </c>
      <c r="T20">
        <f t="shared" si="0"/>
        <v>179.2</v>
      </c>
      <c r="U20">
        <f t="shared" si="0"/>
        <v>197.4</v>
      </c>
      <c r="V20">
        <f t="shared" si="0"/>
        <v>255.3</v>
      </c>
      <c r="W20">
        <f t="shared" si="0"/>
        <v>229.2</v>
      </c>
      <c r="X20">
        <f t="shared" si="0"/>
        <v>256.7</v>
      </c>
      <c r="Y20">
        <f t="shared" si="0"/>
        <v>276.2</v>
      </c>
      <c r="Z20">
        <f t="shared" si="0"/>
        <v>255.8</v>
      </c>
      <c r="AA20">
        <f t="shared" si="0"/>
        <v>237</v>
      </c>
      <c r="AB20">
        <f t="shared" si="0"/>
        <v>168.2</v>
      </c>
      <c r="AC20">
        <f t="shared" si="0"/>
        <v>240.60000000000002</v>
      </c>
      <c r="AD20">
        <f t="shared" si="0"/>
        <v>238.8</v>
      </c>
      <c r="AE20">
        <f t="shared" si="0"/>
        <v>251</v>
      </c>
      <c r="AF20">
        <f t="shared" si="0"/>
        <v>256.89999999999998</v>
      </c>
      <c r="AG20">
        <f t="shared" si="0"/>
        <v>271.70000000000005</v>
      </c>
      <c r="AH20">
        <f t="shared" si="0"/>
        <v>211.7</v>
      </c>
      <c r="AI20">
        <f t="shared" si="0"/>
        <v>165.3</v>
      </c>
      <c r="AJ20">
        <f t="shared" si="0"/>
        <v>262</v>
      </c>
      <c r="AK20">
        <f t="shared" si="0"/>
        <v>187.6</v>
      </c>
      <c r="AL20">
        <f t="shared" si="0"/>
        <v>166.9</v>
      </c>
      <c r="AM20">
        <f t="shared" si="0"/>
        <v>237</v>
      </c>
      <c r="AN20">
        <f t="shared" si="0"/>
        <v>221.7</v>
      </c>
      <c r="AO20">
        <f t="shared" si="0"/>
        <v>0</v>
      </c>
      <c r="AP20">
        <f t="shared" si="0"/>
        <v>0</v>
      </c>
    </row>
    <row r="22" spans="1:42">
      <c r="B22" s="237" t="s">
        <v>193</v>
      </c>
      <c r="C22" s="237"/>
      <c r="D22" s="237"/>
    </row>
    <row r="23" spans="1:42">
      <c r="A23" s="104" cm="1">
        <f t="array" ref="A23:AN23">IF(DATE(YEAR(EDATE(DATE3,-12)),1,1)&lt;DATE3,INDEX(INDICES,MATCH(DATE(YEAR(EDATE(DATE3,-12)),1,1),'INDICES PRIX'!A:A,0),),"")</f>
        <v>45658</v>
      </c>
      <c r="B23" s="43">
        <v>124.3</v>
      </c>
      <c r="C23" s="43">
        <v>137.19999999999999</v>
      </c>
      <c r="D23" s="43">
        <v>134.6</v>
      </c>
      <c r="E23" s="43">
        <v>157.1</v>
      </c>
      <c r="F23" s="43">
        <v>104.75</v>
      </c>
      <c r="G23" s="43">
        <v>118</v>
      </c>
      <c r="H23" s="43">
        <v>123.5</v>
      </c>
      <c r="I23" s="43">
        <v>182.9</v>
      </c>
      <c r="J23" s="43">
        <v>115.1</v>
      </c>
      <c r="K23" s="43">
        <v>143.16999999999999</v>
      </c>
      <c r="L23" s="43">
        <v>102.1</v>
      </c>
      <c r="M23" s="43">
        <v>110.9</v>
      </c>
      <c r="N23" s="43">
        <v>131.19999999999999</v>
      </c>
      <c r="O23" s="43">
        <v>86.3</v>
      </c>
      <c r="P23" s="43">
        <v>116.8</v>
      </c>
      <c r="Q23" s="43">
        <v>107.1</v>
      </c>
      <c r="R23" s="43">
        <v>147.5</v>
      </c>
      <c r="S23" s="43">
        <v>118.1</v>
      </c>
      <c r="T23" s="43">
        <v>90.3</v>
      </c>
      <c r="U23" s="43">
        <v>124</v>
      </c>
      <c r="V23" s="43">
        <v>125.8</v>
      </c>
      <c r="W23" s="43">
        <v>115.4</v>
      </c>
      <c r="X23" s="43">
        <v>127.2</v>
      </c>
      <c r="Y23" s="43">
        <v>139.80000000000001</v>
      </c>
      <c r="Z23" s="43">
        <v>127.5</v>
      </c>
      <c r="AA23" s="43">
        <v>115.1</v>
      </c>
      <c r="AB23" s="43">
        <v>94.2</v>
      </c>
      <c r="AC23" s="43">
        <v>123.3</v>
      </c>
      <c r="AD23" s="43">
        <v>118.1</v>
      </c>
      <c r="AE23" s="43">
        <v>123.9</v>
      </c>
      <c r="AF23" s="43">
        <v>117.4</v>
      </c>
      <c r="AG23" s="43">
        <v>119.9</v>
      </c>
      <c r="AH23" s="43">
        <v>106.3</v>
      </c>
      <c r="AI23" s="43">
        <v>87.7</v>
      </c>
      <c r="AJ23" s="43">
        <v>134.4</v>
      </c>
      <c r="AK23" s="43">
        <v>92.7</v>
      </c>
      <c r="AL23" s="43">
        <v>80.400000000000006</v>
      </c>
      <c r="AM23" s="43">
        <v>118.1</v>
      </c>
      <c r="AN23" s="43">
        <v>109</v>
      </c>
      <c r="AO23" s="43"/>
      <c r="AP23" s="7"/>
    </row>
    <row r="24" spans="1:42">
      <c r="A24" s="106" cm="1">
        <f t="array" ref="A24:AN24">IF(A23&lt;EDATE(DATE3,-12),INDEX(INDICES,MATCH(EDATE(A23,1),'INDICES PRIX'!A:A,0),),"")</f>
        <v>45689</v>
      </c>
      <c r="B24">
        <v>124.8</v>
      </c>
      <c r="C24">
        <v>137.4</v>
      </c>
      <c r="D24">
        <v>134.9</v>
      </c>
      <c r="E24">
        <v>155.6</v>
      </c>
      <c r="F24">
        <v>104.6</v>
      </c>
      <c r="G24">
        <v>118.8</v>
      </c>
      <c r="H24">
        <v>123.5</v>
      </c>
      <c r="I24">
        <v>162.4</v>
      </c>
      <c r="J24">
        <v>113.8</v>
      </c>
      <c r="K24">
        <v>142.03</v>
      </c>
      <c r="L24">
        <v>101.2</v>
      </c>
      <c r="M24">
        <v>110.9</v>
      </c>
      <c r="N24">
        <v>130.19999999999999</v>
      </c>
      <c r="O24">
        <v>87.5</v>
      </c>
      <c r="P24">
        <v>116.7</v>
      </c>
      <c r="Q24">
        <v>107.2</v>
      </c>
      <c r="R24">
        <v>146.30000000000001</v>
      </c>
      <c r="S24">
        <v>118</v>
      </c>
      <c r="T24">
        <v>91.2</v>
      </c>
      <c r="U24">
        <v>129.19999999999999</v>
      </c>
      <c r="V24">
        <v>128.19999999999999</v>
      </c>
      <c r="W24">
        <v>116.3</v>
      </c>
      <c r="X24">
        <v>128.69999999999999</v>
      </c>
      <c r="Y24">
        <v>139.6</v>
      </c>
      <c r="Z24">
        <v>128.19999999999999</v>
      </c>
      <c r="AA24">
        <v>115</v>
      </c>
      <c r="AB24">
        <v>94.6</v>
      </c>
      <c r="AC24">
        <v>120.3</v>
      </c>
      <c r="AD24">
        <v>118.6</v>
      </c>
      <c r="AE24">
        <v>126.7</v>
      </c>
      <c r="AF24">
        <v>116.5</v>
      </c>
      <c r="AG24">
        <v>116.7</v>
      </c>
      <c r="AH24">
        <v>106.8</v>
      </c>
      <c r="AI24">
        <v>87.2</v>
      </c>
      <c r="AJ24">
        <v>135.4</v>
      </c>
      <c r="AK24">
        <v>94</v>
      </c>
      <c r="AL24">
        <v>80.7</v>
      </c>
      <c r="AM24">
        <v>118.3</v>
      </c>
      <c r="AN24">
        <v>109.6</v>
      </c>
      <c r="AP24" s="107"/>
    </row>
    <row r="25" spans="1:42">
      <c r="A25" s="106" t="str" cm="1">
        <f t="array" ref="A25">IF(A24&lt;EDATE(DATE3,-12),INDEX(INDICES,MATCH(EDATE(A24,1),'INDICES PRIX'!A:A,0),),"")</f>
        <v/>
      </c>
      <c r="AP25" s="107"/>
    </row>
    <row r="26" spans="1:42">
      <c r="A26" s="106" t="str" cm="1">
        <f t="array" ref="A26">IF(A25&lt;EDATE(DATE3,-12),INDEX(INDICES,MATCH(EDATE(A25,1),'INDICES PRIX'!A:A,0),),"")</f>
        <v/>
      </c>
      <c r="AP26" s="107"/>
    </row>
    <row r="27" spans="1:42">
      <c r="A27" s="106" t="str" cm="1">
        <f t="array" ref="A27">IF(A26&lt;EDATE(DATE3,-12),INDEX(INDICES,MATCH(EDATE(A26,1),'INDICES PRIX'!A:A,0),),"")</f>
        <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249.1</v>
      </c>
      <c r="C36">
        <f>SUM(C23:C35)</f>
        <v>274.60000000000002</v>
      </c>
      <c r="D36">
        <f t="shared" ref="D36:AP36" si="1">SUM(D23:D35)</f>
        <v>269.5</v>
      </c>
      <c r="E36">
        <f t="shared" si="1"/>
        <v>312.7</v>
      </c>
      <c r="F36">
        <f t="shared" si="1"/>
        <v>209.35</v>
      </c>
      <c r="G36">
        <f t="shared" si="1"/>
        <v>236.8</v>
      </c>
      <c r="H36">
        <f t="shared" si="1"/>
        <v>247</v>
      </c>
      <c r="I36">
        <f t="shared" si="1"/>
        <v>345.3</v>
      </c>
      <c r="J36">
        <f t="shared" si="1"/>
        <v>228.89999999999998</v>
      </c>
      <c r="K36">
        <f t="shared" si="1"/>
        <v>285.2</v>
      </c>
      <c r="L36">
        <f t="shared" si="1"/>
        <v>203.3</v>
      </c>
      <c r="M36">
        <f t="shared" si="1"/>
        <v>221.8</v>
      </c>
      <c r="N36">
        <f t="shared" si="1"/>
        <v>261.39999999999998</v>
      </c>
      <c r="O36">
        <f t="shared" si="1"/>
        <v>173.8</v>
      </c>
      <c r="P36">
        <f t="shared" si="1"/>
        <v>233.5</v>
      </c>
      <c r="Q36">
        <f t="shared" si="1"/>
        <v>214.3</v>
      </c>
      <c r="R36">
        <f t="shared" si="1"/>
        <v>293.8</v>
      </c>
      <c r="S36">
        <f t="shared" si="1"/>
        <v>236.1</v>
      </c>
      <c r="T36">
        <f t="shared" si="1"/>
        <v>181.5</v>
      </c>
      <c r="U36">
        <f t="shared" si="1"/>
        <v>253.2</v>
      </c>
      <c r="V36">
        <f t="shared" si="1"/>
        <v>254</v>
      </c>
      <c r="W36">
        <f t="shared" si="1"/>
        <v>231.7</v>
      </c>
      <c r="X36">
        <f t="shared" si="1"/>
        <v>255.89999999999998</v>
      </c>
      <c r="Y36">
        <f t="shared" si="1"/>
        <v>279.39999999999998</v>
      </c>
      <c r="Z36">
        <f t="shared" si="1"/>
        <v>255.7</v>
      </c>
      <c r="AA36">
        <f t="shared" si="1"/>
        <v>230.1</v>
      </c>
      <c r="AB36">
        <f t="shared" si="1"/>
        <v>188.8</v>
      </c>
      <c r="AC36">
        <f t="shared" si="1"/>
        <v>243.6</v>
      </c>
      <c r="AD36">
        <f t="shared" si="1"/>
        <v>236.7</v>
      </c>
      <c r="AE36">
        <f t="shared" si="1"/>
        <v>250.60000000000002</v>
      </c>
      <c r="AF36">
        <f t="shared" si="1"/>
        <v>233.9</v>
      </c>
      <c r="AG36">
        <f t="shared" si="1"/>
        <v>236.60000000000002</v>
      </c>
      <c r="AH36">
        <f t="shared" si="1"/>
        <v>213.1</v>
      </c>
      <c r="AI36">
        <f t="shared" si="1"/>
        <v>174.9</v>
      </c>
      <c r="AJ36">
        <f t="shared" si="1"/>
        <v>269.8</v>
      </c>
      <c r="AK36">
        <f t="shared" si="1"/>
        <v>186.7</v>
      </c>
      <c r="AL36">
        <f t="shared" si="1"/>
        <v>161.10000000000002</v>
      </c>
      <c r="AM36">
        <f t="shared" si="1"/>
        <v>236.39999999999998</v>
      </c>
      <c r="AN36">
        <f t="shared" si="1"/>
        <v>218.6</v>
      </c>
      <c r="AO36">
        <f t="shared" si="1"/>
        <v>0</v>
      </c>
      <c r="AP36">
        <f t="shared" si="1"/>
        <v>0</v>
      </c>
    </row>
    <row r="38" spans="1:42">
      <c r="B38" s="237" t="s">
        <v>194</v>
      </c>
      <c r="C38" s="237"/>
      <c r="D38" s="237"/>
    </row>
    <row r="39" spans="1:42">
      <c r="A39" s="104" cm="1">
        <f t="array" ref="A39:AN39">IF(DATE(YEAR(EDATE(DATE3,-24)),1,1)&lt;DATE3,INDEX(INDICES,MATCH(DATE(YEAR(EDATE(DATE3,-24)),1,1),'INDICES PRIX'!A:A,0),),"")</f>
        <v>45292</v>
      </c>
      <c r="B39" s="43">
        <v>124</v>
      </c>
      <c r="C39" s="43">
        <v>132.5</v>
      </c>
      <c r="D39" s="43">
        <v>131.19999999999999</v>
      </c>
      <c r="E39" s="43">
        <v>146.30000000000001</v>
      </c>
      <c r="F39" s="43">
        <v>106.91</v>
      </c>
      <c r="G39" s="43">
        <v>116.8</v>
      </c>
      <c r="H39" s="43">
        <v>124</v>
      </c>
      <c r="I39" s="43">
        <v>209.3</v>
      </c>
      <c r="J39" s="43">
        <v>82.3</v>
      </c>
      <c r="K39" s="43">
        <v>148.45206610165278</v>
      </c>
      <c r="L39" s="43">
        <v>110</v>
      </c>
      <c r="M39" s="43">
        <v>106.9</v>
      </c>
      <c r="N39" s="43">
        <v>129.19999999999999</v>
      </c>
      <c r="O39" s="43">
        <v>90.3</v>
      </c>
      <c r="P39" s="43">
        <v>117.2</v>
      </c>
      <c r="Q39" s="43">
        <v>107.1</v>
      </c>
      <c r="R39" s="43">
        <v>145.4</v>
      </c>
      <c r="S39" s="43">
        <v>109.4</v>
      </c>
      <c r="T39" s="43">
        <v>93.2</v>
      </c>
      <c r="U39" s="43">
        <v>112.4</v>
      </c>
      <c r="V39" s="43">
        <v>129.5</v>
      </c>
      <c r="W39" s="43">
        <v>115.1</v>
      </c>
      <c r="X39" s="43">
        <v>128.19999999999999</v>
      </c>
      <c r="Y39" s="43">
        <v>138.4</v>
      </c>
      <c r="Z39" s="43">
        <v>128.4</v>
      </c>
      <c r="AA39" s="43">
        <v>112.8</v>
      </c>
      <c r="AB39" s="43">
        <v>92.3</v>
      </c>
      <c r="AC39" s="43">
        <v>127.5</v>
      </c>
      <c r="AD39" s="43">
        <v>123.2</v>
      </c>
      <c r="AE39" s="43">
        <v>118.6</v>
      </c>
      <c r="AF39" s="43">
        <v>115.9</v>
      </c>
      <c r="AG39" s="43">
        <v>117.1</v>
      </c>
      <c r="AH39" s="43">
        <v>106.4</v>
      </c>
      <c r="AI39" s="43">
        <v>100.4</v>
      </c>
      <c r="AJ39" s="43">
        <v>140.19999999999999</v>
      </c>
      <c r="AK39" s="43">
        <v>97.9</v>
      </c>
      <c r="AL39" s="43">
        <v>88.5</v>
      </c>
      <c r="AM39" s="43">
        <v>115.2</v>
      </c>
      <c r="AN39" s="43">
        <v>107.3</v>
      </c>
      <c r="AO39" s="43"/>
      <c r="AP39" s="7"/>
    </row>
    <row r="40" spans="1:42">
      <c r="A40" s="106" cm="1">
        <f t="array" ref="A40:AN40">IF(A39&lt;EDATE(DATE3,-24),INDEX(INDICES,MATCH(EDATE(A39,1),'INDICES PRIX'!A:A,0),),"")</f>
        <v>45323</v>
      </c>
      <c r="B40">
        <v>124.1</v>
      </c>
      <c r="C40">
        <v>132.69999999999999</v>
      </c>
      <c r="D40">
        <v>131.4</v>
      </c>
      <c r="E40">
        <v>152.9</v>
      </c>
      <c r="F40">
        <v>111.34</v>
      </c>
      <c r="G40">
        <v>117.8</v>
      </c>
      <c r="H40">
        <v>124</v>
      </c>
      <c r="I40">
        <v>193</v>
      </c>
      <c r="J40">
        <v>68.900000000000006</v>
      </c>
      <c r="K40">
        <v>159.28371315062699</v>
      </c>
      <c r="L40">
        <v>107.7</v>
      </c>
      <c r="M40">
        <v>106.9</v>
      </c>
      <c r="N40">
        <v>130.4</v>
      </c>
      <c r="O40">
        <v>91.2</v>
      </c>
      <c r="P40">
        <v>118.2</v>
      </c>
      <c r="Q40">
        <v>107.2</v>
      </c>
      <c r="R40">
        <v>144.5</v>
      </c>
      <c r="S40">
        <v>108.4</v>
      </c>
      <c r="T40">
        <v>95.4</v>
      </c>
      <c r="U40">
        <v>112.4</v>
      </c>
      <c r="V40">
        <v>124.4</v>
      </c>
      <c r="W40">
        <v>116.7</v>
      </c>
      <c r="X40">
        <v>129.1</v>
      </c>
      <c r="Y40">
        <v>138.6</v>
      </c>
      <c r="Z40">
        <v>126.6</v>
      </c>
      <c r="AA40">
        <v>112.5</v>
      </c>
      <c r="AB40">
        <v>93.5</v>
      </c>
      <c r="AC40">
        <v>125.1</v>
      </c>
      <c r="AD40">
        <v>122.2</v>
      </c>
      <c r="AE40">
        <v>116.3</v>
      </c>
      <c r="AF40">
        <v>118.7</v>
      </c>
      <c r="AG40">
        <v>121.8</v>
      </c>
      <c r="AH40">
        <v>108.7</v>
      </c>
      <c r="AI40">
        <v>100.2</v>
      </c>
      <c r="AJ40">
        <v>137.5</v>
      </c>
      <c r="AK40">
        <v>98.8</v>
      </c>
      <c r="AL40">
        <v>88.2</v>
      </c>
      <c r="AM40">
        <v>115.9</v>
      </c>
      <c r="AN40">
        <v>107.9</v>
      </c>
      <c r="AP40" s="107"/>
    </row>
    <row r="41" spans="1:42">
      <c r="A41" s="106" t="str" cm="1">
        <f t="array" ref="A41">IF(A40&lt;EDATE(DATE3,-24),INDEX(INDICES,MATCH(EDATE(A40,1),'INDICES PRIX'!A:A,0),),"")</f>
        <v/>
      </c>
      <c r="AP41" s="107"/>
    </row>
    <row r="42" spans="1:42">
      <c r="A42" s="106" t="str" cm="1">
        <f t="array" ref="A42">IF(A41&lt;EDATE(DATE3,-24),INDEX(INDICES,MATCH(EDATE(A41,1),'INDICES PRIX'!A:A,0),),"")</f>
        <v/>
      </c>
      <c r="AP42" s="107"/>
    </row>
    <row r="43" spans="1:42">
      <c r="A43" s="106" t="str" cm="1">
        <f t="array" ref="A43">IF(A42&lt;EDATE(DATE3,-24),INDEX(INDICES,MATCH(EDATE(A42,1),'INDICES PRIX'!A:A,0),),"")</f>
        <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248.1</v>
      </c>
      <c r="C52">
        <f t="shared" ref="C52:AP52" si="2">SUM(C39:C51)</f>
        <v>265.2</v>
      </c>
      <c r="D52">
        <f t="shared" si="2"/>
        <v>262.60000000000002</v>
      </c>
      <c r="E52">
        <f t="shared" si="2"/>
        <v>299.20000000000005</v>
      </c>
      <c r="F52">
        <f t="shared" si="2"/>
        <v>218.25</v>
      </c>
      <c r="G52">
        <f t="shared" si="2"/>
        <v>234.6</v>
      </c>
      <c r="H52">
        <f t="shared" si="2"/>
        <v>248</v>
      </c>
      <c r="I52">
        <f t="shared" si="2"/>
        <v>402.3</v>
      </c>
      <c r="J52">
        <f t="shared" si="2"/>
        <v>151.19999999999999</v>
      </c>
      <c r="K52">
        <f t="shared" si="2"/>
        <v>307.73577925227977</v>
      </c>
      <c r="L52">
        <f t="shared" si="2"/>
        <v>217.7</v>
      </c>
      <c r="M52">
        <f t="shared" si="2"/>
        <v>213.8</v>
      </c>
      <c r="N52">
        <f t="shared" si="2"/>
        <v>259.60000000000002</v>
      </c>
      <c r="O52">
        <f t="shared" si="2"/>
        <v>181.5</v>
      </c>
      <c r="P52">
        <f t="shared" si="2"/>
        <v>235.4</v>
      </c>
      <c r="Q52">
        <f t="shared" si="2"/>
        <v>214.3</v>
      </c>
      <c r="R52">
        <f t="shared" si="2"/>
        <v>289.89999999999998</v>
      </c>
      <c r="S52">
        <f t="shared" si="2"/>
        <v>217.8</v>
      </c>
      <c r="T52">
        <f t="shared" si="2"/>
        <v>188.60000000000002</v>
      </c>
      <c r="U52">
        <f t="shared" si="2"/>
        <v>224.8</v>
      </c>
      <c r="V52">
        <f t="shared" si="2"/>
        <v>253.9</v>
      </c>
      <c r="W52">
        <f t="shared" si="2"/>
        <v>231.8</v>
      </c>
      <c r="X52">
        <f t="shared" si="2"/>
        <v>257.29999999999995</v>
      </c>
      <c r="Y52">
        <f t="shared" si="2"/>
        <v>277</v>
      </c>
      <c r="Z52">
        <f t="shared" si="2"/>
        <v>255</v>
      </c>
      <c r="AA52">
        <f t="shared" si="2"/>
        <v>225.3</v>
      </c>
      <c r="AB52">
        <f t="shared" si="2"/>
        <v>185.8</v>
      </c>
      <c r="AC52">
        <f t="shared" si="2"/>
        <v>252.6</v>
      </c>
      <c r="AD52">
        <f t="shared" si="2"/>
        <v>245.4</v>
      </c>
      <c r="AE52">
        <f t="shared" si="2"/>
        <v>234.89999999999998</v>
      </c>
      <c r="AF52">
        <f t="shared" si="2"/>
        <v>234.60000000000002</v>
      </c>
      <c r="AG52">
        <f t="shared" si="2"/>
        <v>238.89999999999998</v>
      </c>
      <c r="AH52">
        <f t="shared" si="2"/>
        <v>215.10000000000002</v>
      </c>
      <c r="AI52">
        <f t="shared" si="2"/>
        <v>200.60000000000002</v>
      </c>
      <c r="AJ52">
        <f t="shared" si="2"/>
        <v>277.7</v>
      </c>
      <c r="AK52">
        <f t="shared" si="2"/>
        <v>196.7</v>
      </c>
      <c r="AL52">
        <f t="shared" si="2"/>
        <v>176.7</v>
      </c>
      <c r="AM52">
        <f t="shared" si="2"/>
        <v>231.10000000000002</v>
      </c>
      <c r="AN52">
        <f t="shared" si="2"/>
        <v>215.2</v>
      </c>
      <c r="AO52">
        <f t="shared" si="2"/>
        <v>0</v>
      </c>
      <c r="AP52">
        <f t="shared" si="2"/>
        <v>0</v>
      </c>
    </row>
    <row r="54" spans="1:42" ht="18.75">
      <c r="B54" s="230" t="s">
        <v>243</v>
      </c>
      <c r="C54" s="230"/>
      <c r="D54" s="230"/>
      <c r="E54" s="230"/>
    </row>
    <row r="55" spans="1:42">
      <c r="B55" s="237" t="str">
        <f>"CUMULS EN N ("&amp;TEXT(DATE4,"aaaa")&amp;")"</f>
        <v>CUMULS EN N (2026)</v>
      </c>
      <c r="C55" s="237"/>
      <c r="D55" s="237"/>
    </row>
    <row r="56" spans="1:42">
      <c r="A56" s="104" cm="1">
        <f t="array" ref="A56:AN56">IF(DATE(YEAR(DATE3),1,1)&lt;=DATE4,INDEX(INDICES,MATCH(DATE(YEAR(DATE4),1,1),'INDICES PRIX'!A:A,0),),"")</f>
        <v>46023</v>
      </c>
      <c r="B56" s="43">
        <v>127.6</v>
      </c>
      <c r="C56" s="43">
        <v>141.80000000000001</v>
      </c>
      <c r="D56" s="43">
        <v>137.69999999999999</v>
      </c>
      <c r="E56" s="43">
        <v>150.1</v>
      </c>
      <c r="F56" s="43">
        <v>100.91</v>
      </c>
      <c r="G56" s="43">
        <v>118</v>
      </c>
      <c r="H56" s="43">
        <v>125.7</v>
      </c>
      <c r="I56" s="43">
        <v>154.19999999999999</v>
      </c>
      <c r="J56" s="43">
        <v>71.400000000000006</v>
      </c>
      <c r="K56" s="43">
        <v>133.73804474216251</v>
      </c>
      <c r="L56" s="43">
        <v>100.1</v>
      </c>
      <c r="M56" s="43">
        <v>113.9</v>
      </c>
      <c r="N56" s="43">
        <v>133.80000000000001</v>
      </c>
      <c r="O56" s="43">
        <v>85.5</v>
      </c>
      <c r="P56" s="43">
        <v>116.4</v>
      </c>
      <c r="Q56" s="43">
        <v>104.2</v>
      </c>
      <c r="R56" s="43">
        <v>150.4</v>
      </c>
      <c r="S56" s="43">
        <v>112.4</v>
      </c>
      <c r="T56" s="43">
        <v>89.6</v>
      </c>
      <c r="U56" s="43">
        <v>96.9</v>
      </c>
      <c r="V56" s="43">
        <v>126.8</v>
      </c>
      <c r="W56" s="43">
        <v>115.1</v>
      </c>
      <c r="X56" s="43">
        <v>127.5</v>
      </c>
      <c r="Y56" s="43">
        <v>138.1</v>
      </c>
      <c r="Z56" s="43">
        <v>127.9</v>
      </c>
      <c r="AA56" s="43">
        <v>118.5</v>
      </c>
      <c r="AB56" s="43">
        <v>83.8</v>
      </c>
      <c r="AC56" s="43">
        <v>122.9</v>
      </c>
      <c r="AD56" s="43">
        <v>118.9</v>
      </c>
      <c r="AE56" s="43">
        <v>125.5</v>
      </c>
      <c r="AF56" s="43">
        <v>128</v>
      </c>
      <c r="AG56" s="43">
        <v>134.9</v>
      </c>
      <c r="AH56" s="43">
        <v>107.3</v>
      </c>
      <c r="AI56" s="43">
        <v>82.7</v>
      </c>
      <c r="AJ56" s="43">
        <v>131.19999999999999</v>
      </c>
      <c r="AK56" s="43">
        <v>93</v>
      </c>
      <c r="AL56" s="43">
        <v>82.7</v>
      </c>
      <c r="AM56" s="43">
        <v>118.5</v>
      </c>
      <c r="AN56" s="43">
        <v>110.3</v>
      </c>
      <c r="AO56" s="43"/>
      <c r="AP56" s="7"/>
    </row>
    <row r="57" spans="1:42">
      <c r="A57" s="106" cm="1">
        <f t="array" ref="A57:AN57">IF(A56&lt;DATE4,INDEX(INDICES,MATCH(EDATE(A56,1),'INDICES PRIX'!A:A,0),),"")</f>
        <v>46054</v>
      </c>
      <c r="B57">
        <v>125.6</v>
      </c>
      <c r="C57">
        <v>141.80000000000001</v>
      </c>
      <c r="D57">
        <v>137.69999999999999</v>
      </c>
      <c r="E57">
        <v>157.19999999999999</v>
      </c>
      <c r="F57">
        <v>103.42</v>
      </c>
      <c r="G57">
        <v>119.2</v>
      </c>
      <c r="H57">
        <v>125.7</v>
      </c>
      <c r="I57">
        <v>147.6</v>
      </c>
      <c r="J57">
        <v>80.7</v>
      </c>
      <c r="K57">
        <v>139.37546497387086</v>
      </c>
      <c r="L57">
        <v>101.1</v>
      </c>
      <c r="M57">
        <v>113.8</v>
      </c>
      <c r="N57">
        <v>133.19999999999999</v>
      </c>
      <c r="O57">
        <v>86.1</v>
      </c>
      <c r="P57">
        <v>118.3</v>
      </c>
      <c r="Q57">
        <v>103.7</v>
      </c>
      <c r="R57">
        <v>149.19999999999999</v>
      </c>
      <c r="S57">
        <v>112.3</v>
      </c>
      <c r="T57">
        <v>89.6</v>
      </c>
      <c r="U57">
        <v>100.5</v>
      </c>
      <c r="V57">
        <v>128.5</v>
      </c>
      <c r="W57">
        <v>114.1</v>
      </c>
      <c r="X57">
        <v>129.19999999999999</v>
      </c>
      <c r="Y57">
        <v>138.1</v>
      </c>
      <c r="Z57">
        <v>127.9</v>
      </c>
      <c r="AA57">
        <v>118.5</v>
      </c>
      <c r="AB57">
        <v>84.4</v>
      </c>
      <c r="AC57">
        <v>117.7</v>
      </c>
      <c r="AD57">
        <v>119.9</v>
      </c>
      <c r="AE57">
        <v>125.5</v>
      </c>
      <c r="AF57">
        <v>128.9</v>
      </c>
      <c r="AG57">
        <v>136.80000000000001</v>
      </c>
      <c r="AH57">
        <v>104.4</v>
      </c>
      <c r="AI57">
        <v>82.6</v>
      </c>
      <c r="AJ57">
        <v>130.80000000000001</v>
      </c>
      <c r="AK57">
        <v>94.6</v>
      </c>
      <c r="AL57">
        <v>84.2</v>
      </c>
      <c r="AM57">
        <v>118.5</v>
      </c>
      <c r="AN57">
        <v>111.4</v>
      </c>
      <c r="AP57" s="107"/>
    </row>
    <row r="58" spans="1:42">
      <c r="A58" s="106" t="str" cm="1">
        <f t="array" ref="A58">IF(A57&lt;DATE4,INDEX(INDICES,MATCH(EDATE(A57,1),'INDICES PRIX'!A:A,0),),"")</f>
        <v/>
      </c>
      <c r="AP58" s="107"/>
    </row>
    <row r="59" spans="1:42">
      <c r="A59" s="106" t="str" cm="1">
        <f t="array" ref="A59">IF(A58&lt;DATE4,INDEX(INDICES,MATCH(EDATE(A58,1),'INDICES PRIX'!A:A,0),),"")</f>
        <v/>
      </c>
      <c r="AP59" s="107"/>
    </row>
    <row r="60" spans="1:42">
      <c r="A60" s="106" t="str" cm="1">
        <f t="array" ref="A60">IF(A59&lt;DATE4,INDEX(INDICES,MATCH(EDATE(A59,1),'INDICES PRIX'!A:A,0),),"")</f>
        <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253.2</v>
      </c>
      <c r="C69">
        <f t="shared" ref="C69:AP69" si="3">SUM(C56:C68)</f>
        <v>283.60000000000002</v>
      </c>
      <c r="D69">
        <f t="shared" si="3"/>
        <v>275.39999999999998</v>
      </c>
      <c r="E69">
        <f t="shared" si="3"/>
        <v>307.29999999999995</v>
      </c>
      <c r="F69">
        <f t="shared" si="3"/>
        <v>204.32999999999998</v>
      </c>
      <c r="G69">
        <f t="shared" si="3"/>
        <v>237.2</v>
      </c>
      <c r="H69">
        <f t="shared" si="3"/>
        <v>251.4</v>
      </c>
      <c r="I69">
        <f t="shared" si="3"/>
        <v>301.79999999999995</v>
      </c>
      <c r="J69">
        <f t="shared" si="3"/>
        <v>152.10000000000002</v>
      </c>
      <c r="K69">
        <f t="shared" si="3"/>
        <v>273.11350971603338</v>
      </c>
      <c r="L69">
        <f t="shared" si="3"/>
        <v>201.2</v>
      </c>
      <c r="M69">
        <f t="shared" si="3"/>
        <v>227.7</v>
      </c>
      <c r="N69">
        <f t="shared" si="3"/>
        <v>267</v>
      </c>
      <c r="O69">
        <f t="shared" si="3"/>
        <v>171.6</v>
      </c>
      <c r="P69">
        <f t="shared" si="3"/>
        <v>234.7</v>
      </c>
      <c r="Q69">
        <f t="shared" si="3"/>
        <v>207.9</v>
      </c>
      <c r="R69">
        <f t="shared" si="3"/>
        <v>299.60000000000002</v>
      </c>
      <c r="S69">
        <f t="shared" si="3"/>
        <v>224.7</v>
      </c>
      <c r="T69">
        <f t="shared" si="3"/>
        <v>179.2</v>
      </c>
      <c r="U69">
        <f t="shared" si="3"/>
        <v>197.4</v>
      </c>
      <c r="V69">
        <f t="shared" si="3"/>
        <v>255.3</v>
      </c>
      <c r="W69">
        <f t="shared" si="3"/>
        <v>229.2</v>
      </c>
      <c r="X69">
        <f t="shared" si="3"/>
        <v>256.7</v>
      </c>
      <c r="Y69">
        <f t="shared" si="3"/>
        <v>276.2</v>
      </c>
      <c r="Z69">
        <f t="shared" si="3"/>
        <v>255.8</v>
      </c>
      <c r="AA69">
        <f t="shared" si="3"/>
        <v>237</v>
      </c>
      <c r="AB69">
        <f t="shared" si="3"/>
        <v>168.2</v>
      </c>
      <c r="AC69">
        <f t="shared" si="3"/>
        <v>240.60000000000002</v>
      </c>
      <c r="AD69">
        <f t="shared" si="3"/>
        <v>238.8</v>
      </c>
      <c r="AE69">
        <f t="shared" si="3"/>
        <v>251</v>
      </c>
      <c r="AF69">
        <f t="shared" si="3"/>
        <v>256.89999999999998</v>
      </c>
      <c r="AG69">
        <f t="shared" si="3"/>
        <v>271.70000000000005</v>
      </c>
      <c r="AH69">
        <f t="shared" si="3"/>
        <v>211.7</v>
      </c>
      <c r="AI69">
        <f t="shared" si="3"/>
        <v>165.3</v>
      </c>
      <c r="AJ69">
        <f t="shared" si="3"/>
        <v>262</v>
      </c>
      <c r="AK69">
        <f t="shared" si="3"/>
        <v>187.6</v>
      </c>
      <c r="AL69">
        <f t="shared" si="3"/>
        <v>166.9</v>
      </c>
      <c r="AM69">
        <f t="shared" si="3"/>
        <v>237</v>
      </c>
      <c r="AN69">
        <f t="shared" si="3"/>
        <v>221.7</v>
      </c>
      <c r="AO69">
        <f t="shared" si="3"/>
        <v>0</v>
      </c>
      <c r="AP69">
        <f t="shared" si="3"/>
        <v>0</v>
      </c>
    </row>
    <row r="71" spans="1:42">
      <c r="B71" s="237" t="str">
        <f>"CUMULS EN N-1 ("&amp;TEXT(EDATE(DATE4,-12),"aaaa")&amp;")"</f>
        <v>CUMULS EN N-1 (2025)</v>
      </c>
      <c r="C71" s="237"/>
      <c r="D71" s="237"/>
    </row>
    <row r="72" spans="1:42">
      <c r="A72" s="104" cm="1">
        <f t="array" ref="A72:AN72">IF(DATE(YEAR(EDATE(DATE4,-12)),1,1)&lt;DATE4,INDEX(INDICES,MATCH(DATE(YEAR(EDATE(DATE4,-12)),1,1),'INDICES PRIX'!A:A,0),),"")</f>
        <v>45658</v>
      </c>
      <c r="B72" s="43">
        <v>124.3</v>
      </c>
      <c r="C72" s="43">
        <v>137.19999999999999</v>
      </c>
      <c r="D72" s="43">
        <v>134.6</v>
      </c>
      <c r="E72" s="43">
        <v>157.1</v>
      </c>
      <c r="F72" s="43">
        <v>104.75</v>
      </c>
      <c r="G72" s="43">
        <v>118</v>
      </c>
      <c r="H72" s="43">
        <v>123.5</v>
      </c>
      <c r="I72" s="43">
        <v>182.9</v>
      </c>
      <c r="J72" s="43">
        <v>115.1</v>
      </c>
      <c r="K72" s="43">
        <v>143.16999999999999</v>
      </c>
      <c r="L72" s="43">
        <v>102.1</v>
      </c>
      <c r="M72" s="43">
        <v>110.9</v>
      </c>
      <c r="N72" s="43">
        <v>131.19999999999999</v>
      </c>
      <c r="O72" s="43">
        <v>86.3</v>
      </c>
      <c r="P72" s="43">
        <v>116.8</v>
      </c>
      <c r="Q72" s="43">
        <v>107.1</v>
      </c>
      <c r="R72" s="43">
        <v>147.5</v>
      </c>
      <c r="S72" s="43">
        <v>118.1</v>
      </c>
      <c r="T72" s="43">
        <v>90.3</v>
      </c>
      <c r="U72" s="43">
        <v>124</v>
      </c>
      <c r="V72" s="43">
        <v>125.8</v>
      </c>
      <c r="W72" s="43">
        <v>115.4</v>
      </c>
      <c r="X72" s="43">
        <v>127.2</v>
      </c>
      <c r="Y72" s="43">
        <v>139.80000000000001</v>
      </c>
      <c r="Z72" s="43">
        <v>127.5</v>
      </c>
      <c r="AA72" s="43">
        <v>115.1</v>
      </c>
      <c r="AB72" s="43">
        <v>94.2</v>
      </c>
      <c r="AC72" s="43">
        <v>123.3</v>
      </c>
      <c r="AD72" s="43">
        <v>118.1</v>
      </c>
      <c r="AE72" s="43">
        <v>123.9</v>
      </c>
      <c r="AF72" s="43">
        <v>117.4</v>
      </c>
      <c r="AG72" s="43">
        <v>119.9</v>
      </c>
      <c r="AH72" s="43">
        <v>106.3</v>
      </c>
      <c r="AI72" s="43">
        <v>87.7</v>
      </c>
      <c r="AJ72" s="43">
        <v>134.4</v>
      </c>
      <c r="AK72" s="43">
        <v>92.7</v>
      </c>
      <c r="AL72" s="43">
        <v>80.400000000000006</v>
      </c>
      <c r="AM72" s="43">
        <v>118.1</v>
      </c>
      <c r="AN72" s="43">
        <v>109</v>
      </c>
      <c r="AO72" s="43"/>
      <c r="AP72" s="7"/>
    </row>
    <row r="73" spans="1:42">
      <c r="A73" s="106" cm="1">
        <f t="array" ref="A73:AN73">IF(A72&lt;EDATE(DATE4,-12),INDEX(INDICES,MATCH(EDATE(A72,1),'INDICES PRIX'!A:A,0),),"")</f>
        <v>45689</v>
      </c>
      <c r="B73">
        <v>124.8</v>
      </c>
      <c r="C73">
        <v>137.4</v>
      </c>
      <c r="D73">
        <v>134.9</v>
      </c>
      <c r="E73">
        <v>155.6</v>
      </c>
      <c r="F73">
        <v>104.6</v>
      </c>
      <c r="G73">
        <v>118.8</v>
      </c>
      <c r="H73">
        <v>123.5</v>
      </c>
      <c r="I73">
        <v>162.4</v>
      </c>
      <c r="J73">
        <v>113.8</v>
      </c>
      <c r="K73">
        <v>142.03</v>
      </c>
      <c r="L73">
        <v>101.2</v>
      </c>
      <c r="M73">
        <v>110.9</v>
      </c>
      <c r="N73">
        <v>130.19999999999999</v>
      </c>
      <c r="O73">
        <v>87.5</v>
      </c>
      <c r="P73">
        <v>116.7</v>
      </c>
      <c r="Q73">
        <v>107.2</v>
      </c>
      <c r="R73">
        <v>146.30000000000001</v>
      </c>
      <c r="S73">
        <v>118</v>
      </c>
      <c r="T73">
        <v>91.2</v>
      </c>
      <c r="U73">
        <v>129.19999999999999</v>
      </c>
      <c r="V73">
        <v>128.19999999999999</v>
      </c>
      <c r="W73">
        <v>116.3</v>
      </c>
      <c r="X73">
        <v>128.69999999999999</v>
      </c>
      <c r="Y73">
        <v>139.6</v>
      </c>
      <c r="Z73">
        <v>128.19999999999999</v>
      </c>
      <c r="AA73">
        <v>115</v>
      </c>
      <c r="AB73">
        <v>94.6</v>
      </c>
      <c r="AC73">
        <v>120.3</v>
      </c>
      <c r="AD73">
        <v>118.6</v>
      </c>
      <c r="AE73">
        <v>126.7</v>
      </c>
      <c r="AF73">
        <v>116.5</v>
      </c>
      <c r="AG73">
        <v>116.7</v>
      </c>
      <c r="AH73">
        <v>106.8</v>
      </c>
      <c r="AI73">
        <v>87.2</v>
      </c>
      <c r="AJ73">
        <v>135.4</v>
      </c>
      <c r="AK73">
        <v>94</v>
      </c>
      <c r="AL73">
        <v>80.7</v>
      </c>
      <c r="AM73">
        <v>118.3</v>
      </c>
      <c r="AN73">
        <v>109.6</v>
      </c>
      <c r="AP73" s="107"/>
    </row>
    <row r="74" spans="1:42">
      <c r="A74" s="106" t="str" cm="1">
        <f t="array" ref="A74">IF(A73&lt;EDATE(DATE4,-12),INDEX(INDICES,MATCH(EDATE(A73,1),'INDICES PRIX'!A:A,0),),"")</f>
        <v/>
      </c>
      <c r="AP74" s="107"/>
    </row>
    <row r="75" spans="1:42">
      <c r="A75" s="106" t="str" cm="1">
        <f t="array" ref="A75">IF(A74&lt;EDATE(DATE4,-12),INDEX(INDICES,MATCH(EDATE(A74,1),'INDICES PRIX'!A:A,0),),"")</f>
        <v/>
      </c>
      <c r="AP75" s="107"/>
    </row>
    <row r="76" spans="1:42">
      <c r="A76" s="106" t="str" cm="1">
        <f t="array" ref="A76">IF(A75&lt;EDATE(DATE4,-12),INDEX(INDICES,MATCH(EDATE(A75,1),'INDICES PRIX'!A:A,0),),"")</f>
        <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249.1</v>
      </c>
      <c r="C85">
        <f>SUM(C72:C84)</f>
        <v>274.60000000000002</v>
      </c>
      <c r="D85">
        <f t="shared" ref="D85:AP85" si="4">SUM(D72:D84)</f>
        <v>269.5</v>
      </c>
      <c r="E85">
        <f t="shared" si="4"/>
        <v>312.7</v>
      </c>
      <c r="F85">
        <f t="shared" si="4"/>
        <v>209.35</v>
      </c>
      <c r="G85">
        <f t="shared" si="4"/>
        <v>236.8</v>
      </c>
      <c r="H85">
        <f t="shared" si="4"/>
        <v>247</v>
      </c>
      <c r="I85">
        <f t="shared" si="4"/>
        <v>345.3</v>
      </c>
      <c r="J85">
        <f t="shared" si="4"/>
        <v>228.89999999999998</v>
      </c>
      <c r="K85">
        <f t="shared" si="4"/>
        <v>285.2</v>
      </c>
      <c r="L85">
        <f t="shared" si="4"/>
        <v>203.3</v>
      </c>
      <c r="M85">
        <f t="shared" si="4"/>
        <v>221.8</v>
      </c>
      <c r="N85">
        <f t="shared" si="4"/>
        <v>261.39999999999998</v>
      </c>
      <c r="O85">
        <f t="shared" si="4"/>
        <v>173.8</v>
      </c>
      <c r="P85">
        <f t="shared" si="4"/>
        <v>233.5</v>
      </c>
      <c r="Q85">
        <f t="shared" si="4"/>
        <v>214.3</v>
      </c>
      <c r="R85">
        <f t="shared" si="4"/>
        <v>293.8</v>
      </c>
      <c r="S85">
        <f t="shared" si="4"/>
        <v>236.1</v>
      </c>
      <c r="T85">
        <f t="shared" si="4"/>
        <v>181.5</v>
      </c>
      <c r="U85">
        <f t="shared" si="4"/>
        <v>253.2</v>
      </c>
      <c r="V85">
        <f t="shared" si="4"/>
        <v>254</v>
      </c>
      <c r="W85">
        <f t="shared" si="4"/>
        <v>231.7</v>
      </c>
      <c r="X85">
        <f t="shared" si="4"/>
        <v>255.89999999999998</v>
      </c>
      <c r="Y85">
        <f t="shared" si="4"/>
        <v>279.39999999999998</v>
      </c>
      <c r="Z85">
        <f t="shared" si="4"/>
        <v>255.7</v>
      </c>
      <c r="AA85">
        <f t="shared" si="4"/>
        <v>230.1</v>
      </c>
      <c r="AB85">
        <f t="shared" si="4"/>
        <v>188.8</v>
      </c>
      <c r="AC85">
        <f t="shared" si="4"/>
        <v>243.6</v>
      </c>
      <c r="AD85">
        <f t="shared" si="4"/>
        <v>236.7</v>
      </c>
      <c r="AE85">
        <f t="shared" si="4"/>
        <v>250.60000000000002</v>
      </c>
      <c r="AF85">
        <f t="shared" si="4"/>
        <v>233.9</v>
      </c>
      <c r="AG85">
        <f t="shared" si="4"/>
        <v>236.60000000000002</v>
      </c>
      <c r="AH85">
        <f t="shared" si="4"/>
        <v>213.1</v>
      </c>
      <c r="AI85">
        <f t="shared" si="4"/>
        <v>174.9</v>
      </c>
      <c r="AJ85">
        <f t="shared" si="4"/>
        <v>269.8</v>
      </c>
      <c r="AK85">
        <f t="shared" si="4"/>
        <v>186.7</v>
      </c>
      <c r="AL85">
        <f t="shared" si="4"/>
        <v>161.10000000000002</v>
      </c>
      <c r="AM85">
        <f t="shared" si="4"/>
        <v>236.39999999999998</v>
      </c>
      <c r="AN85">
        <f t="shared" si="4"/>
        <v>218.6</v>
      </c>
      <c r="AO85">
        <f t="shared" si="4"/>
        <v>0</v>
      </c>
      <c r="AP85">
        <f t="shared" si="4"/>
        <v>0</v>
      </c>
    </row>
    <row r="87" spans="1:42">
      <c r="B87" s="237" t="str">
        <f>"CUMULS EN N-2 ("&amp;TEXT(EDATE(DATE4,-24),"aaaa")&amp;")"</f>
        <v>CUMULS EN N-2 (2024)</v>
      </c>
      <c r="C87" s="237"/>
      <c r="D87" s="237"/>
    </row>
    <row r="88" spans="1:42">
      <c r="A88" s="104" cm="1">
        <f t="array" ref="A88:AN88">IF(DATE(YEAR(EDATE(DATE4,-24)),1,1)&lt;DATE4,INDEX(INDICES,MATCH(DATE(YEAR(EDATE(DATE4,-24)),1,1),'INDICES PRIX'!A:A,0),),"")</f>
        <v>45292</v>
      </c>
      <c r="B88" s="43">
        <v>124</v>
      </c>
      <c r="C88" s="43">
        <v>132.5</v>
      </c>
      <c r="D88" s="43">
        <v>131.19999999999999</v>
      </c>
      <c r="E88" s="43">
        <v>146.30000000000001</v>
      </c>
      <c r="F88" s="43">
        <v>106.91</v>
      </c>
      <c r="G88" s="43">
        <v>116.8</v>
      </c>
      <c r="H88" s="43">
        <v>124</v>
      </c>
      <c r="I88" s="43">
        <v>209.3</v>
      </c>
      <c r="J88" s="43">
        <v>82.3</v>
      </c>
      <c r="K88" s="43">
        <v>148.45206610165278</v>
      </c>
      <c r="L88" s="43">
        <v>110</v>
      </c>
      <c r="M88" s="43">
        <v>106.9</v>
      </c>
      <c r="N88" s="43">
        <v>129.19999999999999</v>
      </c>
      <c r="O88" s="43">
        <v>90.3</v>
      </c>
      <c r="P88" s="43">
        <v>117.2</v>
      </c>
      <c r="Q88" s="43">
        <v>107.1</v>
      </c>
      <c r="R88" s="43">
        <v>145.4</v>
      </c>
      <c r="S88" s="43">
        <v>109.4</v>
      </c>
      <c r="T88" s="43">
        <v>93.2</v>
      </c>
      <c r="U88" s="43">
        <v>112.4</v>
      </c>
      <c r="V88" s="43">
        <v>129.5</v>
      </c>
      <c r="W88" s="43">
        <v>115.1</v>
      </c>
      <c r="X88" s="43">
        <v>128.19999999999999</v>
      </c>
      <c r="Y88" s="43">
        <v>138.4</v>
      </c>
      <c r="Z88" s="43">
        <v>128.4</v>
      </c>
      <c r="AA88" s="43">
        <v>112.8</v>
      </c>
      <c r="AB88" s="43">
        <v>92.3</v>
      </c>
      <c r="AC88" s="43">
        <v>127.5</v>
      </c>
      <c r="AD88" s="43">
        <v>123.2</v>
      </c>
      <c r="AE88" s="43">
        <v>118.6</v>
      </c>
      <c r="AF88" s="43">
        <v>115.9</v>
      </c>
      <c r="AG88" s="43">
        <v>117.1</v>
      </c>
      <c r="AH88" s="43">
        <v>106.4</v>
      </c>
      <c r="AI88" s="43">
        <v>100.4</v>
      </c>
      <c r="AJ88" s="43">
        <v>140.19999999999999</v>
      </c>
      <c r="AK88" s="43">
        <v>97.9</v>
      </c>
      <c r="AL88" s="43">
        <v>88.5</v>
      </c>
      <c r="AM88" s="43">
        <v>115.2</v>
      </c>
      <c r="AN88" s="43">
        <v>107.3</v>
      </c>
      <c r="AO88" s="43"/>
      <c r="AP88" s="7"/>
    </row>
    <row r="89" spans="1:42">
      <c r="A89" s="106" cm="1">
        <f t="array" ref="A89:AN89">IF(A88&lt;EDATE(DATE4,-24),INDEX(INDICES,MATCH(EDATE(A88,1),'INDICES PRIX'!A:A,0),),"")</f>
        <v>45323</v>
      </c>
      <c r="B89">
        <v>124.1</v>
      </c>
      <c r="C89">
        <v>132.69999999999999</v>
      </c>
      <c r="D89">
        <v>131.4</v>
      </c>
      <c r="E89">
        <v>152.9</v>
      </c>
      <c r="F89">
        <v>111.34</v>
      </c>
      <c r="G89">
        <v>117.8</v>
      </c>
      <c r="H89">
        <v>124</v>
      </c>
      <c r="I89">
        <v>193</v>
      </c>
      <c r="J89">
        <v>68.900000000000006</v>
      </c>
      <c r="K89">
        <v>159.28371315062699</v>
      </c>
      <c r="L89">
        <v>107.7</v>
      </c>
      <c r="M89">
        <v>106.9</v>
      </c>
      <c r="N89">
        <v>130.4</v>
      </c>
      <c r="O89">
        <v>91.2</v>
      </c>
      <c r="P89">
        <v>118.2</v>
      </c>
      <c r="Q89">
        <v>107.2</v>
      </c>
      <c r="R89">
        <v>144.5</v>
      </c>
      <c r="S89">
        <v>108.4</v>
      </c>
      <c r="T89">
        <v>95.4</v>
      </c>
      <c r="U89">
        <v>112.4</v>
      </c>
      <c r="V89">
        <v>124.4</v>
      </c>
      <c r="W89">
        <v>116.7</v>
      </c>
      <c r="X89">
        <v>129.1</v>
      </c>
      <c r="Y89">
        <v>138.6</v>
      </c>
      <c r="Z89">
        <v>126.6</v>
      </c>
      <c r="AA89">
        <v>112.5</v>
      </c>
      <c r="AB89">
        <v>93.5</v>
      </c>
      <c r="AC89">
        <v>125.1</v>
      </c>
      <c r="AD89">
        <v>122.2</v>
      </c>
      <c r="AE89">
        <v>116.3</v>
      </c>
      <c r="AF89">
        <v>118.7</v>
      </c>
      <c r="AG89">
        <v>121.8</v>
      </c>
      <c r="AH89">
        <v>108.7</v>
      </c>
      <c r="AI89">
        <v>100.2</v>
      </c>
      <c r="AJ89">
        <v>137.5</v>
      </c>
      <c r="AK89">
        <v>98.8</v>
      </c>
      <c r="AL89">
        <v>88.2</v>
      </c>
      <c r="AM89">
        <v>115.9</v>
      </c>
      <c r="AN89">
        <v>107.9</v>
      </c>
      <c r="AP89" s="107"/>
    </row>
    <row r="90" spans="1:42">
      <c r="A90" s="106" t="str" cm="1">
        <f t="array" ref="A90">IF(A89&lt;EDATE(DATE4,-24),INDEX(INDICES,MATCH(EDATE(A89,1),'INDICES PRIX'!A:A,0),),"")</f>
        <v/>
      </c>
      <c r="AP90" s="107"/>
    </row>
    <row r="91" spans="1:42">
      <c r="A91" s="106" t="str" cm="1">
        <f t="array" ref="A91">IF(A90&lt;EDATE(DATE4,-24),INDEX(INDICES,MATCH(EDATE(A90,1),'INDICES PRIX'!A:A,0),),"")</f>
        <v/>
      </c>
      <c r="AP91" s="107"/>
    </row>
    <row r="92" spans="1:42">
      <c r="A92" s="106" t="str" cm="1">
        <f t="array" ref="A92">IF(A91&lt;EDATE(DATE4,-24),INDEX(INDICES,MATCH(EDATE(A91,1),'INDICES PRIX'!A:A,0),),"")</f>
        <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248.1</v>
      </c>
      <c r="C101">
        <f>SUM(C88:C100)</f>
        <v>265.2</v>
      </c>
      <c r="D101">
        <f t="shared" ref="D101:AP101" si="5">SUM(D88:D100)</f>
        <v>262.60000000000002</v>
      </c>
      <c r="E101">
        <f t="shared" si="5"/>
        <v>299.20000000000005</v>
      </c>
      <c r="F101">
        <f t="shared" si="5"/>
        <v>218.25</v>
      </c>
      <c r="G101">
        <f t="shared" si="5"/>
        <v>234.6</v>
      </c>
      <c r="H101">
        <f t="shared" si="5"/>
        <v>248</v>
      </c>
      <c r="I101">
        <f t="shared" si="5"/>
        <v>402.3</v>
      </c>
      <c r="J101">
        <f t="shared" si="5"/>
        <v>151.19999999999999</v>
      </c>
      <c r="K101">
        <f t="shared" si="5"/>
        <v>307.73577925227977</v>
      </c>
      <c r="L101">
        <f t="shared" si="5"/>
        <v>217.7</v>
      </c>
      <c r="M101">
        <f t="shared" si="5"/>
        <v>213.8</v>
      </c>
      <c r="N101">
        <f t="shared" si="5"/>
        <v>259.60000000000002</v>
      </c>
      <c r="O101">
        <f t="shared" si="5"/>
        <v>181.5</v>
      </c>
      <c r="P101">
        <f t="shared" si="5"/>
        <v>235.4</v>
      </c>
      <c r="Q101">
        <f t="shared" si="5"/>
        <v>214.3</v>
      </c>
      <c r="R101">
        <f t="shared" si="5"/>
        <v>289.89999999999998</v>
      </c>
      <c r="S101">
        <f t="shared" si="5"/>
        <v>217.8</v>
      </c>
      <c r="T101">
        <f t="shared" si="5"/>
        <v>188.60000000000002</v>
      </c>
      <c r="U101">
        <f t="shared" si="5"/>
        <v>224.8</v>
      </c>
      <c r="V101">
        <f t="shared" si="5"/>
        <v>253.9</v>
      </c>
      <c r="W101">
        <f t="shared" si="5"/>
        <v>231.8</v>
      </c>
      <c r="X101">
        <f t="shared" si="5"/>
        <v>257.29999999999995</v>
      </c>
      <c r="Y101">
        <f t="shared" si="5"/>
        <v>277</v>
      </c>
      <c r="Z101">
        <f t="shared" si="5"/>
        <v>255</v>
      </c>
      <c r="AA101">
        <f t="shared" si="5"/>
        <v>225.3</v>
      </c>
      <c r="AB101">
        <f t="shared" si="5"/>
        <v>185.8</v>
      </c>
      <c r="AC101">
        <f t="shared" si="5"/>
        <v>252.6</v>
      </c>
      <c r="AD101">
        <f t="shared" si="5"/>
        <v>245.4</v>
      </c>
      <c r="AE101">
        <f t="shared" si="5"/>
        <v>234.89999999999998</v>
      </c>
      <c r="AF101">
        <f t="shared" si="5"/>
        <v>234.60000000000002</v>
      </c>
      <c r="AG101">
        <f t="shared" si="5"/>
        <v>238.89999999999998</v>
      </c>
      <c r="AH101">
        <f t="shared" si="5"/>
        <v>215.10000000000002</v>
      </c>
      <c r="AI101">
        <f t="shared" si="5"/>
        <v>200.60000000000002</v>
      </c>
      <c r="AJ101">
        <f t="shared" si="5"/>
        <v>277.7</v>
      </c>
      <c r="AK101">
        <f t="shared" si="5"/>
        <v>196.7</v>
      </c>
      <c r="AL101">
        <f t="shared" si="5"/>
        <v>176.7</v>
      </c>
      <c r="AM101">
        <f t="shared" si="5"/>
        <v>231.10000000000002</v>
      </c>
      <c r="AN101">
        <f t="shared" si="5"/>
        <v>215.2</v>
      </c>
      <c r="AO101">
        <f t="shared" si="5"/>
        <v>0</v>
      </c>
      <c r="AP101">
        <f t="shared" si="5"/>
        <v>0</v>
      </c>
    </row>
    <row r="103" spans="1:42" ht="18.75">
      <c r="B103" s="230" t="str">
        <f>"DEPUIS "&amp;UPPER(TEXT(DATE4,"mmmmmmmm"))</f>
        <v>DEPUIS FÉVRIER</v>
      </c>
      <c r="C103" s="230"/>
      <c r="D103" s="230"/>
      <c r="E103" s="230"/>
    </row>
    <row r="104" spans="1:42">
      <c r="B104" s="237" t="str">
        <f>"CUMULS EN N ("&amp;TEXT(DATE4,"aaaa")&amp;")"</f>
        <v>CUMULS EN N (2026)</v>
      </c>
      <c r="C104" s="237"/>
      <c r="D104" s="237"/>
    </row>
    <row r="105" spans="1:42">
      <c r="A105" s="104" cm="1">
        <f t="array" ref="A105:AN105">INDEX(INDICES,MATCH(EDATE(DATE4,-11),'INDICES PRIX'!A:A,0),)</f>
        <v>45717</v>
      </c>
      <c r="B105" s="43">
        <v>124.5</v>
      </c>
      <c r="C105" s="43">
        <v>137.6</v>
      </c>
      <c r="D105" s="43">
        <v>135.19999999999999</v>
      </c>
      <c r="E105" s="43">
        <v>145.69999999999999</v>
      </c>
      <c r="F105" s="43">
        <v>101.29</v>
      </c>
      <c r="G105" s="43">
        <v>118.5</v>
      </c>
      <c r="H105" s="43">
        <v>123.5</v>
      </c>
      <c r="I105" s="43">
        <v>155.5</v>
      </c>
      <c r="J105" s="43">
        <v>114.6</v>
      </c>
      <c r="K105" s="43">
        <v>133.53</v>
      </c>
      <c r="L105" s="43">
        <v>101.2</v>
      </c>
      <c r="M105" s="43">
        <v>111</v>
      </c>
      <c r="N105" s="43">
        <v>130.1</v>
      </c>
      <c r="O105" s="43">
        <v>88.3</v>
      </c>
      <c r="P105" s="43">
        <v>116.3</v>
      </c>
      <c r="Q105" s="43">
        <v>106.9</v>
      </c>
      <c r="R105" s="43">
        <v>143.9</v>
      </c>
      <c r="S105" s="43">
        <v>113.5</v>
      </c>
      <c r="T105" s="43">
        <v>92.3</v>
      </c>
      <c r="U105" s="43">
        <v>128.9</v>
      </c>
      <c r="V105" s="43">
        <v>130.9</v>
      </c>
      <c r="W105" s="43">
        <v>113.9</v>
      </c>
      <c r="X105" s="43">
        <v>130.30000000000001</v>
      </c>
      <c r="Y105" s="43">
        <v>138.9</v>
      </c>
      <c r="Z105" s="43">
        <v>128.9</v>
      </c>
      <c r="AA105" s="43">
        <v>115</v>
      </c>
      <c r="AB105" s="43">
        <v>95</v>
      </c>
      <c r="AC105" s="43">
        <v>121.1</v>
      </c>
      <c r="AD105" s="43">
        <v>118.7</v>
      </c>
      <c r="AE105" s="43">
        <v>127.8</v>
      </c>
      <c r="AF105" s="43">
        <v>116.6</v>
      </c>
      <c r="AG105" s="43">
        <v>117.1</v>
      </c>
      <c r="AH105" s="43">
        <v>108.5</v>
      </c>
      <c r="AI105" s="43">
        <v>85.7</v>
      </c>
      <c r="AJ105" s="43">
        <v>136.1</v>
      </c>
      <c r="AK105" s="43">
        <v>94</v>
      </c>
      <c r="AL105" s="43">
        <v>82.2</v>
      </c>
      <c r="AM105" s="43">
        <v>118.4</v>
      </c>
      <c r="AN105" s="43">
        <v>110.9</v>
      </c>
      <c r="AO105" s="43"/>
      <c r="AP105" s="7"/>
    </row>
    <row r="106" spans="1:42">
      <c r="A106" s="106" cm="1">
        <f t="array" ref="A106:AN106">INDEX(INDICES,MATCH(EDATE(A105,1),'INDICES PRIX'!A:A,0),)</f>
        <v>45748</v>
      </c>
      <c r="B106">
        <v>126.2</v>
      </c>
      <c r="C106">
        <v>138</v>
      </c>
      <c r="D106">
        <v>135.4</v>
      </c>
      <c r="E106">
        <v>141</v>
      </c>
      <c r="F106">
        <v>97.24</v>
      </c>
      <c r="G106">
        <v>119.4</v>
      </c>
      <c r="H106">
        <v>125.5</v>
      </c>
      <c r="I106">
        <v>135.1</v>
      </c>
      <c r="J106">
        <v>93</v>
      </c>
      <c r="K106">
        <v>124.17</v>
      </c>
      <c r="L106">
        <v>100.9</v>
      </c>
      <c r="M106">
        <v>110.9</v>
      </c>
      <c r="N106">
        <v>131.5</v>
      </c>
      <c r="O106">
        <v>89.1</v>
      </c>
      <c r="P106">
        <v>116.9</v>
      </c>
      <c r="Q106">
        <v>107.4</v>
      </c>
      <c r="R106">
        <v>145.80000000000001</v>
      </c>
      <c r="S106">
        <v>114.6</v>
      </c>
      <c r="T106">
        <v>92.3</v>
      </c>
      <c r="U106">
        <v>124.6</v>
      </c>
      <c r="V106">
        <v>130.5</v>
      </c>
      <c r="W106">
        <v>114</v>
      </c>
      <c r="X106">
        <v>128.5</v>
      </c>
      <c r="Y106">
        <v>139.30000000000001</v>
      </c>
      <c r="Z106">
        <v>129.1</v>
      </c>
      <c r="AA106">
        <v>116.2</v>
      </c>
      <c r="AB106">
        <v>93.8</v>
      </c>
      <c r="AC106">
        <v>120.7</v>
      </c>
      <c r="AD106">
        <v>118.5</v>
      </c>
      <c r="AE106">
        <v>129.1</v>
      </c>
      <c r="AF106">
        <v>116.9</v>
      </c>
      <c r="AG106">
        <v>117</v>
      </c>
      <c r="AH106">
        <v>106.3</v>
      </c>
      <c r="AI106">
        <v>84.7</v>
      </c>
      <c r="AJ106">
        <v>135.1</v>
      </c>
      <c r="AK106">
        <v>95.1</v>
      </c>
      <c r="AL106">
        <v>82.2</v>
      </c>
      <c r="AM106">
        <v>118.1</v>
      </c>
      <c r="AN106">
        <v>111</v>
      </c>
      <c r="AP106" s="107"/>
    </row>
    <row r="107" spans="1:42">
      <c r="A107" s="106" cm="1">
        <f t="array" ref="A107:AN107">INDEX(INDICES,MATCH(EDATE(A106,1),'INDICES PRIX'!A:A,0),)</f>
        <v>45778</v>
      </c>
      <c r="B107">
        <v>126.4</v>
      </c>
      <c r="C107">
        <v>138.4</v>
      </c>
      <c r="D107">
        <v>135.6</v>
      </c>
      <c r="E107">
        <v>140</v>
      </c>
      <c r="F107">
        <v>95.45</v>
      </c>
      <c r="G107">
        <v>118.1</v>
      </c>
      <c r="H107">
        <v>125.5</v>
      </c>
      <c r="I107">
        <v>113.3</v>
      </c>
      <c r="J107">
        <v>84.1</v>
      </c>
      <c r="K107">
        <v>120.39</v>
      </c>
      <c r="L107">
        <v>101.6</v>
      </c>
      <c r="M107">
        <v>113.3</v>
      </c>
      <c r="N107">
        <v>131.69999999999999</v>
      </c>
      <c r="O107">
        <v>89.6</v>
      </c>
      <c r="P107">
        <v>116.2</v>
      </c>
      <c r="Q107">
        <v>108.2</v>
      </c>
      <c r="R107">
        <v>145.6</v>
      </c>
      <c r="S107">
        <v>111.1</v>
      </c>
      <c r="T107">
        <v>93.2</v>
      </c>
      <c r="U107">
        <v>116.6</v>
      </c>
      <c r="V107">
        <v>129.80000000000001</v>
      </c>
      <c r="W107">
        <v>114.7</v>
      </c>
      <c r="X107">
        <v>130.6</v>
      </c>
      <c r="Y107">
        <v>140</v>
      </c>
      <c r="Z107">
        <v>130.30000000000001</v>
      </c>
      <c r="AA107">
        <v>115.9</v>
      </c>
      <c r="AB107">
        <v>93.2</v>
      </c>
      <c r="AC107">
        <v>121</v>
      </c>
      <c r="AD107">
        <v>119</v>
      </c>
      <c r="AE107">
        <v>128.6</v>
      </c>
      <c r="AF107">
        <v>119.7</v>
      </c>
      <c r="AG107">
        <v>121.8</v>
      </c>
      <c r="AH107">
        <v>107.4</v>
      </c>
      <c r="AI107">
        <v>84.3</v>
      </c>
      <c r="AJ107">
        <v>135.9</v>
      </c>
      <c r="AK107">
        <v>94.4</v>
      </c>
      <c r="AL107">
        <v>83.1</v>
      </c>
      <c r="AM107">
        <v>118.7</v>
      </c>
      <c r="AN107">
        <v>109.9</v>
      </c>
      <c r="AP107" s="107"/>
    </row>
    <row r="108" spans="1:42">
      <c r="A108" s="106" cm="1">
        <f t="array" ref="A108:AN108">INDEX(INDICES,MATCH(EDATE(A107,1),'INDICES PRIX'!A:A,0),)</f>
        <v>45809</v>
      </c>
      <c r="B108">
        <v>126</v>
      </c>
      <c r="C108">
        <v>138.69999999999999</v>
      </c>
      <c r="D108">
        <v>135.80000000000001</v>
      </c>
      <c r="E108">
        <v>143.9</v>
      </c>
      <c r="F108">
        <v>98.01</v>
      </c>
      <c r="G108">
        <v>119.2</v>
      </c>
      <c r="H108">
        <v>125.5</v>
      </c>
      <c r="I108">
        <v>96.2</v>
      </c>
      <c r="J108">
        <v>86.2</v>
      </c>
      <c r="K108">
        <v>127.85</v>
      </c>
      <c r="L108">
        <v>103.6</v>
      </c>
      <c r="M108">
        <v>113.4</v>
      </c>
      <c r="N108">
        <v>130.69999999999999</v>
      </c>
      <c r="O108">
        <v>89.4</v>
      </c>
      <c r="P108">
        <v>115.2</v>
      </c>
      <c r="Q108">
        <v>107.7</v>
      </c>
      <c r="R108">
        <v>145.4</v>
      </c>
      <c r="S108">
        <v>110.9</v>
      </c>
      <c r="T108">
        <v>93.4</v>
      </c>
      <c r="U108">
        <v>115.4</v>
      </c>
      <c r="V108">
        <v>130.30000000000001</v>
      </c>
      <c r="W108">
        <v>114.5</v>
      </c>
      <c r="X108">
        <v>129.80000000000001</v>
      </c>
      <c r="Y108">
        <v>140.19999999999999</v>
      </c>
      <c r="Z108">
        <v>129.69999999999999</v>
      </c>
      <c r="AA108">
        <v>116.4</v>
      </c>
      <c r="AB108">
        <v>93</v>
      </c>
      <c r="AC108">
        <v>120.7</v>
      </c>
      <c r="AD108">
        <v>119.1</v>
      </c>
      <c r="AE108">
        <v>126</v>
      </c>
      <c r="AF108">
        <v>119.2</v>
      </c>
      <c r="AG108">
        <v>122.3</v>
      </c>
      <c r="AH108">
        <v>108.9</v>
      </c>
      <c r="AI108">
        <v>83.5</v>
      </c>
      <c r="AJ108">
        <v>136.30000000000001</v>
      </c>
      <c r="AK108">
        <v>94.7</v>
      </c>
      <c r="AL108">
        <v>82.5</v>
      </c>
      <c r="AM108">
        <v>118.3</v>
      </c>
      <c r="AN108">
        <v>108.9</v>
      </c>
      <c r="AP108" s="107"/>
    </row>
    <row r="109" spans="1:42">
      <c r="A109" s="106" cm="1">
        <f t="array" ref="A109:AN109">INDEX(INDICES,MATCH(EDATE(A108,1),'INDICES PRIX'!A:A,0),)</f>
        <v>45839</v>
      </c>
      <c r="B109">
        <v>125.5</v>
      </c>
      <c r="C109">
        <v>139</v>
      </c>
      <c r="D109">
        <v>136</v>
      </c>
      <c r="E109">
        <v>147.30000000000001</v>
      </c>
      <c r="F109">
        <v>100.68</v>
      </c>
      <c r="G109">
        <v>121.2</v>
      </c>
      <c r="H109">
        <v>125.3</v>
      </c>
      <c r="I109">
        <v>99.2</v>
      </c>
      <c r="J109">
        <v>86.6</v>
      </c>
      <c r="K109">
        <v>132.49710318172353</v>
      </c>
      <c r="L109">
        <v>101</v>
      </c>
      <c r="M109">
        <v>112.9</v>
      </c>
      <c r="N109">
        <v>131.30000000000001</v>
      </c>
      <c r="O109">
        <v>88.6</v>
      </c>
      <c r="P109">
        <v>115.2</v>
      </c>
      <c r="Q109">
        <v>107</v>
      </c>
      <c r="R109">
        <v>144</v>
      </c>
      <c r="S109">
        <v>108.8</v>
      </c>
      <c r="T109">
        <v>92.7</v>
      </c>
      <c r="U109">
        <v>118.8</v>
      </c>
      <c r="V109">
        <v>132.19999999999999</v>
      </c>
      <c r="W109">
        <v>113.9</v>
      </c>
      <c r="X109">
        <v>129.30000000000001</v>
      </c>
      <c r="Y109">
        <v>138.9</v>
      </c>
      <c r="Z109">
        <v>129.9</v>
      </c>
      <c r="AA109">
        <v>116.5</v>
      </c>
      <c r="AB109">
        <v>90.4</v>
      </c>
      <c r="AC109">
        <v>121</v>
      </c>
      <c r="AD109">
        <v>119.7</v>
      </c>
      <c r="AE109">
        <v>125.5</v>
      </c>
      <c r="AF109">
        <v>121.5</v>
      </c>
      <c r="AG109">
        <v>124.8</v>
      </c>
      <c r="AH109">
        <v>107.6</v>
      </c>
      <c r="AI109">
        <v>82.4</v>
      </c>
      <c r="AJ109">
        <v>137.80000000000001</v>
      </c>
      <c r="AK109">
        <v>94.6</v>
      </c>
      <c r="AL109">
        <v>82.1</v>
      </c>
      <c r="AM109">
        <v>118.1</v>
      </c>
      <c r="AN109">
        <v>108.3</v>
      </c>
      <c r="AP109" s="107"/>
    </row>
    <row r="110" spans="1:42">
      <c r="A110" s="106" cm="1">
        <f t="array" ref="A110:AN110">INDEX(INDICES,MATCH(EDATE(A109,1),'INDICES PRIX'!A:A,0),)</f>
        <v>45870</v>
      </c>
      <c r="B110">
        <v>128.4</v>
      </c>
      <c r="C110">
        <v>139.30000000000001</v>
      </c>
      <c r="D110">
        <v>136.30000000000001</v>
      </c>
      <c r="E110">
        <v>143.30000000000001</v>
      </c>
      <c r="F110">
        <v>98.92</v>
      </c>
      <c r="G110">
        <v>121</v>
      </c>
      <c r="H110">
        <v>125.3</v>
      </c>
      <c r="I110">
        <v>106.4</v>
      </c>
      <c r="J110">
        <v>80.7</v>
      </c>
      <c r="K110">
        <v>128.22471866649806</v>
      </c>
      <c r="L110">
        <v>101.8</v>
      </c>
      <c r="M110">
        <v>112.9</v>
      </c>
      <c r="N110">
        <v>132.69999999999999</v>
      </c>
      <c r="O110">
        <v>87.8</v>
      </c>
      <c r="P110">
        <v>116.8</v>
      </c>
      <c r="Q110">
        <v>107.3</v>
      </c>
      <c r="R110">
        <v>143</v>
      </c>
      <c r="S110">
        <v>109.6</v>
      </c>
      <c r="T110">
        <v>91.4</v>
      </c>
      <c r="U110">
        <v>114</v>
      </c>
      <c r="V110">
        <v>133.6</v>
      </c>
      <c r="W110">
        <v>114.9</v>
      </c>
      <c r="X110">
        <v>129.4</v>
      </c>
      <c r="Y110">
        <v>140.30000000000001</v>
      </c>
      <c r="Z110">
        <v>129.30000000000001</v>
      </c>
      <c r="AA110">
        <v>116.9</v>
      </c>
      <c r="AB110">
        <v>88.7</v>
      </c>
      <c r="AC110">
        <v>121.3</v>
      </c>
      <c r="AD110">
        <v>119.9</v>
      </c>
      <c r="AE110">
        <v>125.7</v>
      </c>
      <c r="AF110">
        <v>120.4</v>
      </c>
      <c r="AG110">
        <v>124.9</v>
      </c>
      <c r="AH110">
        <v>106.3</v>
      </c>
      <c r="AI110">
        <v>82.4</v>
      </c>
      <c r="AJ110">
        <v>137.9</v>
      </c>
      <c r="AK110">
        <v>92.1</v>
      </c>
      <c r="AL110">
        <v>79</v>
      </c>
      <c r="AM110">
        <v>118.8</v>
      </c>
      <c r="AN110">
        <v>108.2</v>
      </c>
      <c r="AP110" s="107"/>
    </row>
    <row r="111" spans="1:42">
      <c r="A111" s="106" cm="1">
        <f t="array" ref="A111:AN111">INDEX(INDICES,MATCH(EDATE(A110,1),'INDICES PRIX'!A:A,0),)</f>
        <v>45901</v>
      </c>
      <c r="B111">
        <v>126.8</v>
      </c>
      <c r="C111">
        <v>139.69999999999999</v>
      </c>
      <c r="D111">
        <v>136.5</v>
      </c>
      <c r="E111">
        <v>145.1</v>
      </c>
      <c r="F111">
        <v>99.17</v>
      </c>
      <c r="G111">
        <v>118.1</v>
      </c>
      <c r="H111">
        <v>125.3</v>
      </c>
      <c r="I111">
        <v>107.4</v>
      </c>
      <c r="J111">
        <v>78.7</v>
      </c>
      <c r="K111">
        <v>129.37702154404852</v>
      </c>
      <c r="L111">
        <v>101.9</v>
      </c>
      <c r="M111">
        <v>112.9</v>
      </c>
      <c r="N111">
        <v>131.30000000000001</v>
      </c>
      <c r="O111">
        <v>87.7</v>
      </c>
      <c r="P111">
        <v>115.8</v>
      </c>
      <c r="Q111">
        <v>106.2</v>
      </c>
      <c r="R111">
        <v>143.6</v>
      </c>
      <c r="S111">
        <v>106.9</v>
      </c>
      <c r="T111">
        <v>90.7</v>
      </c>
      <c r="U111">
        <v>109.8</v>
      </c>
      <c r="V111">
        <v>130.69999999999999</v>
      </c>
      <c r="W111">
        <v>114.1</v>
      </c>
      <c r="X111">
        <v>129.1</v>
      </c>
      <c r="Y111">
        <v>140.4</v>
      </c>
      <c r="Z111">
        <v>127</v>
      </c>
      <c r="AA111">
        <v>116.9</v>
      </c>
      <c r="AB111">
        <v>88</v>
      </c>
      <c r="AC111">
        <v>121.4</v>
      </c>
      <c r="AD111">
        <v>118.3</v>
      </c>
      <c r="AE111">
        <v>124.1</v>
      </c>
      <c r="AF111">
        <v>122.2</v>
      </c>
      <c r="AG111">
        <v>128.19999999999999</v>
      </c>
      <c r="AH111">
        <v>107.6</v>
      </c>
      <c r="AI111">
        <v>82.4</v>
      </c>
      <c r="AJ111">
        <v>134.69999999999999</v>
      </c>
      <c r="AK111">
        <v>92.1</v>
      </c>
      <c r="AL111">
        <v>80.099999999999994</v>
      </c>
      <c r="AM111">
        <v>118.5</v>
      </c>
      <c r="AN111">
        <v>107.1</v>
      </c>
      <c r="AP111" s="107"/>
    </row>
    <row r="112" spans="1:42">
      <c r="A112" s="106" cm="1">
        <f t="array" ref="A112:AN112">INDEX(INDICES,MATCH(EDATE(A111,1),'INDICES PRIX'!A:A,0),)</f>
        <v>45931</v>
      </c>
      <c r="B112">
        <v>126.7</v>
      </c>
      <c r="C112">
        <v>140.4</v>
      </c>
      <c r="D112">
        <v>136.80000000000001</v>
      </c>
      <c r="E112">
        <v>143.4</v>
      </c>
      <c r="F112">
        <v>98.62</v>
      </c>
      <c r="G112">
        <v>119.5</v>
      </c>
      <c r="H112">
        <v>125.4</v>
      </c>
      <c r="I112">
        <v>109.5</v>
      </c>
      <c r="J112">
        <v>77.599999999999994</v>
      </c>
      <c r="K112">
        <v>128.47290697858585</v>
      </c>
      <c r="L112">
        <v>100.9</v>
      </c>
      <c r="M112">
        <v>113.8</v>
      </c>
      <c r="N112">
        <v>131.69999999999999</v>
      </c>
      <c r="O112">
        <v>86.4</v>
      </c>
      <c r="P112">
        <v>116</v>
      </c>
      <c r="Q112">
        <v>105.8</v>
      </c>
      <c r="R112">
        <v>143.30000000000001</v>
      </c>
      <c r="S112">
        <v>107</v>
      </c>
      <c r="T112">
        <v>90.4</v>
      </c>
      <c r="U112">
        <v>106.7</v>
      </c>
      <c r="V112">
        <v>132.30000000000001</v>
      </c>
      <c r="W112">
        <v>114.7</v>
      </c>
      <c r="X112">
        <v>127</v>
      </c>
      <c r="Y112">
        <v>139</v>
      </c>
      <c r="Z112">
        <v>126.5</v>
      </c>
      <c r="AA112">
        <v>116.5</v>
      </c>
      <c r="AB112">
        <v>88.3</v>
      </c>
      <c r="AC112">
        <v>121.8</v>
      </c>
      <c r="AD112">
        <v>117.7</v>
      </c>
      <c r="AE112">
        <v>123.9</v>
      </c>
      <c r="AF112">
        <v>121.3</v>
      </c>
      <c r="AG112">
        <v>123.8</v>
      </c>
      <c r="AH112">
        <v>106.5</v>
      </c>
      <c r="AI112">
        <v>82.9</v>
      </c>
      <c r="AJ112">
        <v>134.80000000000001</v>
      </c>
      <c r="AK112">
        <v>91.3</v>
      </c>
      <c r="AL112">
        <v>78.5</v>
      </c>
      <c r="AM112">
        <v>118.2</v>
      </c>
      <c r="AN112">
        <v>107</v>
      </c>
      <c r="AP112" s="107"/>
    </row>
    <row r="113" spans="1:42">
      <c r="A113" s="106" cm="1">
        <f t="array" ref="A113:AN113">INDEX(INDICES,MATCH(EDATE(A112,1),'INDICES PRIX'!A:A,0),)</f>
        <v>45962</v>
      </c>
      <c r="B113">
        <v>126.2</v>
      </c>
      <c r="C113">
        <v>141.1</v>
      </c>
      <c r="D113">
        <v>137.1</v>
      </c>
      <c r="E113">
        <v>149.6</v>
      </c>
      <c r="F113">
        <v>102.87</v>
      </c>
      <c r="G113">
        <v>118.2</v>
      </c>
      <c r="H113">
        <v>125.4</v>
      </c>
      <c r="I113">
        <v>123.6</v>
      </c>
      <c r="J113">
        <v>75.7</v>
      </c>
      <c r="K113">
        <v>139.23364308124926</v>
      </c>
      <c r="L113">
        <v>100.7</v>
      </c>
      <c r="M113">
        <v>113.8</v>
      </c>
      <c r="N113">
        <v>131.6</v>
      </c>
      <c r="O113">
        <v>85.7</v>
      </c>
      <c r="P113">
        <v>115.9</v>
      </c>
      <c r="Q113">
        <v>105.1</v>
      </c>
      <c r="R113">
        <v>143.9</v>
      </c>
      <c r="S113">
        <v>110</v>
      </c>
      <c r="T113">
        <v>89.8</v>
      </c>
      <c r="U113">
        <v>107</v>
      </c>
      <c r="V113">
        <v>127.8</v>
      </c>
      <c r="W113">
        <v>114.2</v>
      </c>
      <c r="X113">
        <v>128.19999999999999</v>
      </c>
      <c r="Y113">
        <v>139.5</v>
      </c>
      <c r="Z113">
        <v>127.9</v>
      </c>
      <c r="AA113">
        <v>116.7</v>
      </c>
      <c r="AB113">
        <v>86.1</v>
      </c>
      <c r="AC113">
        <v>122.7</v>
      </c>
      <c r="AD113">
        <v>117.5</v>
      </c>
      <c r="AE113">
        <v>125.5</v>
      </c>
      <c r="AF113">
        <v>123.2</v>
      </c>
      <c r="AG113">
        <v>126.9</v>
      </c>
      <c r="AH113">
        <v>106.1</v>
      </c>
      <c r="AI113">
        <v>82.6</v>
      </c>
      <c r="AJ113">
        <v>130.1</v>
      </c>
      <c r="AK113">
        <v>90.3</v>
      </c>
      <c r="AL113">
        <v>79.599999999999994</v>
      </c>
      <c r="AM113">
        <v>117.6</v>
      </c>
      <c r="AN113">
        <v>107.1</v>
      </c>
      <c r="AP113" s="107"/>
    </row>
    <row r="114" spans="1:42">
      <c r="A114" s="106" cm="1">
        <f t="array" ref="A114:AN114">INDEX(INDICES,MATCH(EDATE(A113,1),'INDICES PRIX'!A:A,0),)</f>
        <v>45992</v>
      </c>
      <c r="B114">
        <v>125.5</v>
      </c>
      <c r="C114">
        <v>141.80000000000001</v>
      </c>
      <c r="D114">
        <v>137.4</v>
      </c>
      <c r="E114">
        <v>141.30000000000001</v>
      </c>
      <c r="F114">
        <v>98.39</v>
      </c>
      <c r="G114">
        <v>119.7</v>
      </c>
      <c r="H114">
        <v>125.4</v>
      </c>
      <c r="I114">
        <v>146.5</v>
      </c>
      <c r="J114">
        <v>74.5</v>
      </c>
      <c r="K114">
        <v>125.53</v>
      </c>
      <c r="L114">
        <v>99.8</v>
      </c>
      <c r="M114">
        <v>113.8</v>
      </c>
      <c r="N114">
        <v>131.1</v>
      </c>
      <c r="O114">
        <v>85.6</v>
      </c>
      <c r="P114">
        <v>116.6</v>
      </c>
      <c r="Q114">
        <v>104.8</v>
      </c>
      <c r="R114">
        <v>143.80000000000001</v>
      </c>
      <c r="S114">
        <v>109.5</v>
      </c>
      <c r="T114">
        <v>89.6</v>
      </c>
      <c r="U114">
        <v>101.7</v>
      </c>
      <c r="V114">
        <v>127.2</v>
      </c>
      <c r="W114">
        <v>112.1</v>
      </c>
      <c r="X114">
        <v>127.5</v>
      </c>
      <c r="Y114">
        <v>138.1</v>
      </c>
      <c r="Z114">
        <v>127.9</v>
      </c>
      <c r="AA114">
        <v>117</v>
      </c>
      <c r="AB114">
        <v>84.7</v>
      </c>
      <c r="AC114">
        <v>120</v>
      </c>
      <c r="AD114">
        <v>117.8</v>
      </c>
      <c r="AE114">
        <v>125.5</v>
      </c>
      <c r="AF114">
        <v>123.3</v>
      </c>
      <c r="AG114">
        <v>127.6</v>
      </c>
      <c r="AH114">
        <v>105.6</v>
      </c>
      <c r="AI114">
        <v>82.8</v>
      </c>
      <c r="AJ114">
        <v>132.4</v>
      </c>
      <c r="AK114">
        <v>91.2</v>
      </c>
      <c r="AL114">
        <v>81.099999999999994</v>
      </c>
      <c r="AM114">
        <v>117.6</v>
      </c>
      <c r="AN114">
        <v>108</v>
      </c>
      <c r="AP114" s="107"/>
    </row>
    <row r="115" spans="1:42">
      <c r="A115" s="106" cm="1">
        <f t="array" ref="A115:AN115">INDEX(INDICES,MATCH(EDATE(A114,1),'INDICES PRIX'!A:A,0),)</f>
        <v>46023</v>
      </c>
      <c r="B115">
        <v>127.6</v>
      </c>
      <c r="C115">
        <v>141.80000000000001</v>
      </c>
      <c r="D115">
        <v>137.69999999999999</v>
      </c>
      <c r="E115">
        <v>150.1</v>
      </c>
      <c r="F115">
        <v>100.91</v>
      </c>
      <c r="G115">
        <v>118</v>
      </c>
      <c r="H115">
        <v>125.7</v>
      </c>
      <c r="I115">
        <v>154.19999999999999</v>
      </c>
      <c r="J115">
        <v>71.400000000000006</v>
      </c>
      <c r="K115">
        <v>133.73804474216251</v>
      </c>
      <c r="L115">
        <v>100.1</v>
      </c>
      <c r="M115">
        <v>113.9</v>
      </c>
      <c r="N115">
        <v>133.80000000000001</v>
      </c>
      <c r="O115">
        <v>85.5</v>
      </c>
      <c r="P115">
        <v>116.4</v>
      </c>
      <c r="Q115">
        <v>104.2</v>
      </c>
      <c r="R115">
        <v>150.4</v>
      </c>
      <c r="S115">
        <v>112.4</v>
      </c>
      <c r="T115">
        <v>89.6</v>
      </c>
      <c r="U115">
        <v>96.9</v>
      </c>
      <c r="V115">
        <v>126.8</v>
      </c>
      <c r="W115">
        <v>115.1</v>
      </c>
      <c r="X115">
        <v>127.5</v>
      </c>
      <c r="Y115">
        <v>138.1</v>
      </c>
      <c r="Z115">
        <v>127.9</v>
      </c>
      <c r="AA115">
        <v>118.5</v>
      </c>
      <c r="AB115">
        <v>83.8</v>
      </c>
      <c r="AC115">
        <v>122.9</v>
      </c>
      <c r="AD115">
        <v>118.9</v>
      </c>
      <c r="AE115">
        <v>125.5</v>
      </c>
      <c r="AF115">
        <v>128</v>
      </c>
      <c r="AG115">
        <v>134.9</v>
      </c>
      <c r="AH115">
        <v>107.3</v>
      </c>
      <c r="AI115">
        <v>82.7</v>
      </c>
      <c r="AJ115">
        <v>131.19999999999999</v>
      </c>
      <c r="AK115">
        <v>93</v>
      </c>
      <c r="AL115">
        <v>82.7</v>
      </c>
      <c r="AM115">
        <v>118.5</v>
      </c>
      <c r="AN115">
        <v>110.3</v>
      </c>
      <c r="AP115" s="107"/>
    </row>
    <row r="116" spans="1:42">
      <c r="A116" s="108" cm="1">
        <f t="array" ref="A116:AN116">INDEX(INDICES,MATCH(EDATE(A115,1),'INDICES PRIX'!A:A,0),)</f>
        <v>46054</v>
      </c>
      <c r="B116" s="109">
        <v>125.6</v>
      </c>
      <c r="C116" s="109">
        <v>141.80000000000001</v>
      </c>
      <c r="D116" s="109">
        <v>137.69999999999999</v>
      </c>
      <c r="E116" s="109">
        <v>157.19999999999999</v>
      </c>
      <c r="F116" s="109">
        <v>103.42</v>
      </c>
      <c r="G116" s="109">
        <v>119.2</v>
      </c>
      <c r="H116" s="109">
        <v>125.7</v>
      </c>
      <c r="I116" s="109">
        <v>147.6</v>
      </c>
      <c r="J116" s="109">
        <v>80.7</v>
      </c>
      <c r="K116" s="109">
        <v>139.37546497387086</v>
      </c>
      <c r="L116" s="109">
        <v>101.1</v>
      </c>
      <c r="M116" s="109">
        <v>113.8</v>
      </c>
      <c r="N116" s="109">
        <v>133.19999999999999</v>
      </c>
      <c r="O116" s="109">
        <v>86.1</v>
      </c>
      <c r="P116" s="109">
        <v>118.3</v>
      </c>
      <c r="Q116" s="109">
        <v>103.7</v>
      </c>
      <c r="R116" s="109">
        <v>149.19999999999999</v>
      </c>
      <c r="S116" s="109">
        <v>112.3</v>
      </c>
      <c r="T116" s="109">
        <v>89.6</v>
      </c>
      <c r="U116" s="109">
        <v>100.5</v>
      </c>
      <c r="V116" s="109">
        <v>128.5</v>
      </c>
      <c r="W116" s="109">
        <v>114.1</v>
      </c>
      <c r="X116" s="109">
        <v>129.19999999999999</v>
      </c>
      <c r="Y116" s="109">
        <v>138.1</v>
      </c>
      <c r="Z116" s="109">
        <v>127.9</v>
      </c>
      <c r="AA116" s="109">
        <v>118.5</v>
      </c>
      <c r="AB116" s="109">
        <v>84.4</v>
      </c>
      <c r="AC116" s="109">
        <v>117.7</v>
      </c>
      <c r="AD116" s="109">
        <v>119.9</v>
      </c>
      <c r="AE116" s="109">
        <v>125.5</v>
      </c>
      <c r="AF116" s="109">
        <v>128.9</v>
      </c>
      <c r="AG116" s="109">
        <v>136.80000000000001</v>
      </c>
      <c r="AH116" s="109">
        <v>104.4</v>
      </c>
      <c r="AI116" s="109">
        <v>82.6</v>
      </c>
      <c r="AJ116" s="109">
        <v>130.80000000000001</v>
      </c>
      <c r="AK116" s="109">
        <v>94.6</v>
      </c>
      <c r="AL116" s="109">
        <v>84.2</v>
      </c>
      <c r="AM116" s="109">
        <v>118.5</v>
      </c>
      <c r="AN116" s="109">
        <v>111.4</v>
      </c>
      <c r="AO116" s="109"/>
      <c r="AP116" s="110"/>
    </row>
    <row r="117" spans="1:42">
      <c r="A117" s="95" t="s">
        <v>198</v>
      </c>
      <c r="B117">
        <f t="shared" ref="B117:AP117" si="6">SUM(B105:B116)</f>
        <v>1515.3999999999999</v>
      </c>
      <c r="C117">
        <f t="shared" si="6"/>
        <v>1677.6</v>
      </c>
      <c r="D117">
        <f t="shared" si="6"/>
        <v>1637.5</v>
      </c>
      <c r="E117">
        <f t="shared" si="6"/>
        <v>1747.8999999999999</v>
      </c>
      <c r="F117">
        <f t="shared" si="6"/>
        <v>1194.97</v>
      </c>
      <c r="G117">
        <f t="shared" si="6"/>
        <v>1430.1000000000001</v>
      </c>
      <c r="H117">
        <f t="shared" si="6"/>
        <v>1503.5</v>
      </c>
      <c r="I117">
        <f t="shared" si="6"/>
        <v>1494.5</v>
      </c>
      <c r="J117">
        <f t="shared" si="6"/>
        <v>1003.8000000000002</v>
      </c>
      <c r="K117">
        <f t="shared" si="6"/>
        <v>1562.3889031681383</v>
      </c>
      <c r="L117">
        <f t="shared" si="6"/>
        <v>1214.5999999999999</v>
      </c>
      <c r="M117">
        <f t="shared" si="6"/>
        <v>1356.3999999999999</v>
      </c>
      <c r="N117">
        <f t="shared" si="6"/>
        <v>1580.6999999999998</v>
      </c>
      <c r="O117">
        <f t="shared" si="6"/>
        <v>1049.8</v>
      </c>
      <c r="P117">
        <f t="shared" si="6"/>
        <v>1395.6</v>
      </c>
      <c r="Q117">
        <f t="shared" si="6"/>
        <v>1274.3000000000002</v>
      </c>
      <c r="R117">
        <f t="shared" si="6"/>
        <v>1741.9000000000003</v>
      </c>
      <c r="S117">
        <f t="shared" si="6"/>
        <v>1326.6000000000001</v>
      </c>
      <c r="T117">
        <f t="shared" si="6"/>
        <v>1095</v>
      </c>
      <c r="U117">
        <f t="shared" si="6"/>
        <v>1340.9</v>
      </c>
      <c r="V117">
        <f t="shared" si="6"/>
        <v>1560.6</v>
      </c>
      <c r="W117">
        <f t="shared" si="6"/>
        <v>1370.1999999999998</v>
      </c>
      <c r="X117">
        <f t="shared" si="6"/>
        <v>1546.4</v>
      </c>
      <c r="Y117">
        <f t="shared" si="6"/>
        <v>1670.7999999999997</v>
      </c>
      <c r="Z117">
        <f t="shared" si="6"/>
        <v>1542.3000000000004</v>
      </c>
      <c r="AA117">
        <f t="shared" si="6"/>
        <v>1401</v>
      </c>
      <c r="AB117">
        <f t="shared" si="6"/>
        <v>1069.4000000000001</v>
      </c>
      <c r="AC117">
        <f t="shared" si="6"/>
        <v>1452.3</v>
      </c>
      <c r="AD117">
        <f t="shared" si="6"/>
        <v>1425.0000000000002</v>
      </c>
      <c r="AE117">
        <f t="shared" si="6"/>
        <v>1512.7</v>
      </c>
      <c r="AF117">
        <f t="shared" si="6"/>
        <v>1461.2</v>
      </c>
      <c r="AG117">
        <f t="shared" si="6"/>
        <v>1506.1</v>
      </c>
      <c r="AH117">
        <f t="shared" si="6"/>
        <v>1282.5</v>
      </c>
      <c r="AI117">
        <f t="shared" si="6"/>
        <v>999</v>
      </c>
      <c r="AJ117">
        <f t="shared" si="6"/>
        <v>1613.1</v>
      </c>
      <c r="AK117">
        <f t="shared" si="6"/>
        <v>1117.3999999999999</v>
      </c>
      <c r="AL117">
        <f t="shared" si="6"/>
        <v>977.30000000000018</v>
      </c>
      <c r="AM117">
        <f t="shared" si="6"/>
        <v>1419.3</v>
      </c>
      <c r="AN117">
        <f t="shared" si="6"/>
        <v>1308.1000000000001</v>
      </c>
      <c r="AO117">
        <f t="shared" si="6"/>
        <v>0</v>
      </c>
      <c r="AP117">
        <f t="shared" si="6"/>
        <v>0</v>
      </c>
    </row>
    <row r="119" spans="1:42">
      <c r="B119" s="237" t="str">
        <f>"CUMULS EN N-1 ("&amp;TEXT(EDATE(DATE4,-12),"aaaa")&amp;")"</f>
        <v>CUMULS EN N-1 (2025)</v>
      </c>
      <c r="C119" s="237"/>
      <c r="D119" s="237"/>
    </row>
    <row r="120" spans="1:42">
      <c r="A120" s="104" cm="1">
        <f t="array" ref="A120:AN120">INDEX(INDICES,MATCH(EDATE(DATE4,-23),'INDICES PRIX'!A:A,0),)</f>
        <v>45352</v>
      </c>
      <c r="B120" s="43">
        <v>124.5</v>
      </c>
      <c r="C120" s="43">
        <v>132.9</v>
      </c>
      <c r="D120" s="43">
        <v>131.69999999999999</v>
      </c>
      <c r="E120" s="43">
        <v>149.80000000000001</v>
      </c>
      <c r="F120" s="43">
        <v>109.98</v>
      </c>
      <c r="G120" s="43">
        <v>117.4</v>
      </c>
      <c r="H120" s="43">
        <v>124</v>
      </c>
      <c r="I120" s="43">
        <v>185.9</v>
      </c>
      <c r="J120" s="43">
        <v>63.2</v>
      </c>
      <c r="K120" s="43">
        <v>155.41906657668858</v>
      </c>
      <c r="L120" s="43">
        <v>105.2</v>
      </c>
      <c r="M120" s="43">
        <v>106.9</v>
      </c>
      <c r="N120" s="43">
        <v>129.4</v>
      </c>
      <c r="O120" s="43">
        <v>90.7</v>
      </c>
      <c r="P120" s="43">
        <v>117.7</v>
      </c>
      <c r="Q120" s="43">
        <v>105.6</v>
      </c>
      <c r="R120" s="43">
        <v>144</v>
      </c>
      <c r="S120" s="43">
        <v>107.8</v>
      </c>
      <c r="T120" s="43">
        <v>95.1</v>
      </c>
      <c r="U120" s="43">
        <v>120.2</v>
      </c>
      <c r="V120" s="43">
        <v>129.19999999999999</v>
      </c>
      <c r="W120" s="43">
        <v>116.7</v>
      </c>
      <c r="X120" s="43">
        <v>126.9</v>
      </c>
      <c r="Y120" s="43">
        <v>138.4</v>
      </c>
      <c r="Z120" s="43">
        <v>130.4</v>
      </c>
      <c r="AA120" s="43">
        <v>113.1</v>
      </c>
      <c r="AB120" s="43">
        <v>96.2</v>
      </c>
      <c r="AC120" s="43">
        <v>124.8</v>
      </c>
      <c r="AD120" s="43">
        <v>122.2</v>
      </c>
      <c r="AE120" s="43">
        <v>119</v>
      </c>
      <c r="AF120" s="43">
        <v>117.1</v>
      </c>
      <c r="AG120" s="43">
        <v>119.6</v>
      </c>
      <c r="AH120" s="43">
        <v>108.3</v>
      </c>
      <c r="AI120" s="43">
        <v>99.9</v>
      </c>
      <c r="AJ120" s="43">
        <v>137.30000000000001</v>
      </c>
      <c r="AK120" s="43">
        <v>97.7</v>
      </c>
      <c r="AL120" s="43">
        <v>89.2</v>
      </c>
      <c r="AM120" s="43">
        <v>115.6</v>
      </c>
      <c r="AN120" s="43">
        <v>109.9</v>
      </c>
      <c r="AO120" s="43"/>
      <c r="AP120" s="7"/>
    </row>
    <row r="121" spans="1:42">
      <c r="A121" s="106" cm="1">
        <f t="array" ref="A121:AN121">INDEX(INDICES,MATCH(EDATE(A120,1),'INDICES PRIX'!A:A,0),)</f>
        <v>45383</v>
      </c>
      <c r="B121">
        <v>125</v>
      </c>
      <c r="C121">
        <v>133.30000000000001</v>
      </c>
      <c r="D121">
        <v>132</v>
      </c>
      <c r="E121">
        <v>147.9</v>
      </c>
      <c r="F121">
        <v>109.42</v>
      </c>
      <c r="G121">
        <v>118.2</v>
      </c>
      <c r="H121">
        <v>123.4</v>
      </c>
      <c r="I121">
        <v>165.3</v>
      </c>
      <c r="J121">
        <v>66.7</v>
      </c>
      <c r="K121">
        <v>154.33767464544894</v>
      </c>
      <c r="L121">
        <v>103.9</v>
      </c>
      <c r="M121">
        <v>107.7</v>
      </c>
      <c r="N121">
        <v>129.69999999999999</v>
      </c>
      <c r="O121">
        <v>89.2</v>
      </c>
      <c r="P121">
        <v>118.6</v>
      </c>
      <c r="Q121">
        <v>106.8</v>
      </c>
      <c r="R121">
        <v>143.9</v>
      </c>
      <c r="S121">
        <v>109.9</v>
      </c>
      <c r="T121">
        <v>91.9</v>
      </c>
      <c r="U121">
        <v>126.2</v>
      </c>
      <c r="V121">
        <v>128.1</v>
      </c>
      <c r="W121">
        <v>115.9</v>
      </c>
      <c r="X121">
        <v>127.6</v>
      </c>
      <c r="Y121">
        <v>137.30000000000001</v>
      </c>
      <c r="Z121">
        <v>130</v>
      </c>
      <c r="AA121">
        <v>113</v>
      </c>
      <c r="AB121">
        <v>98.8</v>
      </c>
      <c r="AC121">
        <v>122.3</v>
      </c>
      <c r="AD121">
        <v>121.5</v>
      </c>
      <c r="AE121">
        <v>122.9</v>
      </c>
      <c r="AF121">
        <v>114</v>
      </c>
      <c r="AG121">
        <v>115.6</v>
      </c>
      <c r="AH121">
        <v>105.7</v>
      </c>
      <c r="AI121">
        <v>100</v>
      </c>
      <c r="AJ121">
        <v>137.19999999999999</v>
      </c>
      <c r="AK121">
        <v>97</v>
      </c>
      <c r="AL121">
        <v>90</v>
      </c>
      <c r="AM121">
        <v>115.6</v>
      </c>
      <c r="AN121">
        <v>109.7</v>
      </c>
      <c r="AP121" s="107"/>
    </row>
    <row r="122" spans="1:42">
      <c r="A122" s="106" cm="1">
        <f t="array" ref="A122:AN122">INDEX(INDICES,MATCH(EDATE(A121,1),'INDICES PRIX'!A:A,0),)</f>
        <v>45413</v>
      </c>
      <c r="B122">
        <v>124.9</v>
      </c>
      <c r="C122">
        <v>133.69999999999999</v>
      </c>
      <c r="D122">
        <v>132.30000000000001</v>
      </c>
      <c r="E122">
        <v>141.19999999999999</v>
      </c>
      <c r="F122">
        <v>105.67</v>
      </c>
      <c r="G122">
        <v>118.3</v>
      </c>
      <c r="H122">
        <v>123.4</v>
      </c>
      <c r="I122">
        <v>125.8</v>
      </c>
      <c r="J122">
        <v>72.3</v>
      </c>
      <c r="K122">
        <v>144.88879104953529</v>
      </c>
      <c r="L122">
        <v>104.1</v>
      </c>
      <c r="M122">
        <v>107.7</v>
      </c>
      <c r="N122">
        <v>129</v>
      </c>
      <c r="O122">
        <v>89</v>
      </c>
      <c r="P122">
        <v>115.2</v>
      </c>
      <c r="Q122">
        <v>107.7</v>
      </c>
      <c r="R122">
        <v>143.6</v>
      </c>
      <c r="S122">
        <v>107.8</v>
      </c>
      <c r="T122">
        <v>92.7</v>
      </c>
      <c r="U122">
        <v>132.80000000000001</v>
      </c>
      <c r="V122">
        <v>130.80000000000001</v>
      </c>
      <c r="W122">
        <v>114.8</v>
      </c>
      <c r="X122">
        <v>128.80000000000001</v>
      </c>
      <c r="Y122">
        <v>139.6</v>
      </c>
      <c r="Z122">
        <v>129.80000000000001</v>
      </c>
      <c r="AA122">
        <v>113.5</v>
      </c>
      <c r="AB122">
        <v>98</v>
      </c>
      <c r="AC122">
        <v>124.8</v>
      </c>
      <c r="AD122">
        <v>122</v>
      </c>
      <c r="AE122">
        <v>124.7</v>
      </c>
      <c r="AF122">
        <v>117.5</v>
      </c>
      <c r="AG122">
        <v>120.7</v>
      </c>
      <c r="AH122">
        <v>107.4</v>
      </c>
      <c r="AI122">
        <v>98.4</v>
      </c>
      <c r="AJ122">
        <v>137.19999999999999</v>
      </c>
      <c r="AK122">
        <v>97</v>
      </c>
      <c r="AL122">
        <v>90</v>
      </c>
      <c r="AM122">
        <v>115.9</v>
      </c>
      <c r="AN122">
        <v>112</v>
      </c>
      <c r="AP122" s="107"/>
    </row>
    <row r="123" spans="1:42">
      <c r="A123" s="106" cm="1">
        <f t="array" ref="A123:AN123">INDEX(INDICES,MATCH(EDATE(A122,1),'INDICES PRIX'!A:A,0),)</f>
        <v>45444</v>
      </c>
      <c r="B123">
        <v>125</v>
      </c>
      <c r="C123">
        <v>134</v>
      </c>
      <c r="D123">
        <v>132.6</v>
      </c>
      <c r="E123">
        <v>142.19999999999999</v>
      </c>
      <c r="F123">
        <v>104.4</v>
      </c>
      <c r="G123">
        <v>118.6</v>
      </c>
      <c r="H123">
        <v>123.4</v>
      </c>
      <c r="I123">
        <v>115.9</v>
      </c>
      <c r="J123">
        <v>79.400000000000006</v>
      </c>
      <c r="K123">
        <v>142.99192323572146</v>
      </c>
      <c r="L123">
        <v>104.7</v>
      </c>
      <c r="M123">
        <v>107.9</v>
      </c>
      <c r="N123">
        <v>128.5</v>
      </c>
      <c r="O123">
        <v>88.3</v>
      </c>
      <c r="P123">
        <v>114.7</v>
      </c>
      <c r="Q123">
        <v>109.3</v>
      </c>
      <c r="R123">
        <v>142.5</v>
      </c>
      <c r="S123">
        <v>109.2</v>
      </c>
      <c r="T123">
        <v>91.9</v>
      </c>
      <c r="U123">
        <v>128.80000000000001</v>
      </c>
      <c r="V123">
        <v>124.9</v>
      </c>
      <c r="W123">
        <v>115.1</v>
      </c>
      <c r="X123">
        <v>127.6</v>
      </c>
      <c r="Y123">
        <v>139.6</v>
      </c>
      <c r="Z123">
        <v>129.80000000000001</v>
      </c>
      <c r="AA123">
        <v>113.5</v>
      </c>
      <c r="AB123">
        <v>96.5</v>
      </c>
      <c r="AC123">
        <v>122.1</v>
      </c>
      <c r="AD123">
        <v>120.7</v>
      </c>
      <c r="AE123">
        <v>127.4</v>
      </c>
      <c r="AF123">
        <v>115</v>
      </c>
      <c r="AG123">
        <v>117.4</v>
      </c>
      <c r="AH123">
        <v>107</v>
      </c>
      <c r="AI123">
        <v>98.6</v>
      </c>
      <c r="AJ123">
        <v>133.1</v>
      </c>
      <c r="AK123">
        <v>96.9</v>
      </c>
      <c r="AL123">
        <v>86.6</v>
      </c>
      <c r="AM123">
        <v>115.3</v>
      </c>
      <c r="AN123">
        <v>113.2</v>
      </c>
      <c r="AP123" s="107"/>
    </row>
    <row r="124" spans="1:42">
      <c r="A124" s="106" cm="1">
        <f t="array" ref="A124:AN124">INDEX(INDICES,MATCH(EDATE(A123,1),'INDICES PRIX'!A:A,0),)</f>
        <v>45474</v>
      </c>
      <c r="B124">
        <v>125</v>
      </c>
      <c r="C124">
        <v>134.6</v>
      </c>
      <c r="D124">
        <v>132.9</v>
      </c>
      <c r="E124">
        <v>140</v>
      </c>
      <c r="F124">
        <v>105.53</v>
      </c>
      <c r="G124">
        <v>120.2</v>
      </c>
      <c r="H124">
        <v>124.2</v>
      </c>
      <c r="I124">
        <v>112.9</v>
      </c>
      <c r="J124">
        <v>82</v>
      </c>
      <c r="K124">
        <v>144.23286479616041</v>
      </c>
      <c r="L124">
        <v>104.7</v>
      </c>
      <c r="M124">
        <v>109.5</v>
      </c>
      <c r="N124">
        <v>128.6</v>
      </c>
      <c r="O124">
        <v>88.3</v>
      </c>
      <c r="P124">
        <v>114.4</v>
      </c>
      <c r="Q124">
        <v>107.9</v>
      </c>
      <c r="R124">
        <v>142.6</v>
      </c>
      <c r="S124">
        <v>107.9</v>
      </c>
      <c r="T124">
        <v>92</v>
      </c>
      <c r="U124">
        <v>132</v>
      </c>
      <c r="V124">
        <v>130.6</v>
      </c>
      <c r="W124">
        <v>113.7</v>
      </c>
      <c r="X124">
        <v>127.8</v>
      </c>
      <c r="Y124">
        <v>138.9</v>
      </c>
      <c r="Z124">
        <v>128.30000000000001</v>
      </c>
      <c r="AA124">
        <v>113.8</v>
      </c>
      <c r="AB124">
        <v>92.6</v>
      </c>
      <c r="AC124">
        <v>126.5</v>
      </c>
      <c r="AD124">
        <v>120.9</v>
      </c>
      <c r="AE124">
        <v>127.6</v>
      </c>
      <c r="AF124">
        <v>117.2</v>
      </c>
      <c r="AG124">
        <v>120.3</v>
      </c>
      <c r="AH124">
        <v>104.4</v>
      </c>
      <c r="AI124">
        <v>97.2</v>
      </c>
      <c r="AJ124">
        <v>136.9</v>
      </c>
      <c r="AK124">
        <v>96.2</v>
      </c>
      <c r="AL124">
        <v>85.2</v>
      </c>
      <c r="AM124">
        <v>114.8</v>
      </c>
      <c r="AN124">
        <v>112.1</v>
      </c>
      <c r="AP124" s="107"/>
    </row>
    <row r="125" spans="1:42">
      <c r="A125" s="106" cm="1">
        <f t="array" ref="A125:AN125">INDEX(INDICES,MATCH(EDATE(A124,1),'INDICES PRIX'!A:A,0),)</f>
        <v>45505</v>
      </c>
      <c r="B125">
        <v>125.4</v>
      </c>
      <c r="C125">
        <v>135.1</v>
      </c>
      <c r="D125">
        <v>133.19999999999999</v>
      </c>
      <c r="E125">
        <v>131.69999999999999</v>
      </c>
      <c r="F125">
        <v>101.84</v>
      </c>
      <c r="G125">
        <v>120.9</v>
      </c>
      <c r="H125">
        <v>124.2</v>
      </c>
      <c r="I125">
        <v>121.6</v>
      </c>
      <c r="J125">
        <v>82.9</v>
      </c>
      <c r="K125">
        <v>134.74852572709136</v>
      </c>
      <c r="L125">
        <v>103.5</v>
      </c>
      <c r="M125">
        <v>109.5</v>
      </c>
      <c r="N125">
        <v>129.19999999999999</v>
      </c>
      <c r="O125">
        <v>88.3</v>
      </c>
      <c r="P125">
        <v>115.3</v>
      </c>
      <c r="Q125">
        <v>107.5</v>
      </c>
      <c r="R125">
        <v>142.80000000000001</v>
      </c>
      <c r="S125">
        <v>108.8</v>
      </c>
      <c r="T125">
        <v>90.6</v>
      </c>
      <c r="U125">
        <v>132.69999999999999</v>
      </c>
      <c r="V125">
        <v>127.7</v>
      </c>
      <c r="W125">
        <v>117.1</v>
      </c>
      <c r="X125">
        <v>127.5</v>
      </c>
      <c r="Y125">
        <v>140.6</v>
      </c>
      <c r="Z125">
        <v>128.80000000000001</v>
      </c>
      <c r="AA125">
        <v>114.1</v>
      </c>
      <c r="AB125">
        <v>92.8</v>
      </c>
      <c r="AC125">
        <v>127.2</v>
      </c>
      <c r="AD125">
        <v>120.2</v>
      </c>
      <c r="AE125">
        <v>126.4</v>
      </c>
      <c r="AF125">
        <v>114.9</v>
      </c>
      <c r="AG125">
        <v>116.8</v>
      </c>
      <c r="AH125">
        <v>106.7</v>
      </c>
      <c r="AI125">
        <v>97.4</v>
      </c>
      <c r="AJ125">
        <v>136.69999999999999</v>
      </c>
      <c r="AK125">
        <v>94.5</v>
      </c>
      <c r="AL125">
        <v>86.7</v>
      </c>
      <c r="AM125">
        <v>115.3</v>
      </c>
      <c r="AN125">
        <v>112</v>
      </c>
      <c r="AP125" s="107"/>
    </row>
    <row r="126" spans="1:42">
      <c r="A126" s="106" cm="1">
        <f t="array" ref="A126:AN126">INDEX(INDICES,MATCH(EDATE(A125,1),'INDICES PRIX'!A:A,0),)</f>
        <v>45536</v>
      </c>
      <c r="B126">
        <v>125.3</v>
      </c>
      <c r="C126">
        <v>135.69999999999999</v>
      </c>
      <c r="D126">
        <v>133.6</v>
      </c>
      <c r="E126">
        <v>129.1</v>
      </c>
      <c r="F126">
        <v>98.38</v>
      </c>
      <c r="G126">
        <v>117.1</v>
      </c>
      <c r="H126">
        <v>124.2</v>
      </c>
      <c r="I126">
        <v>127.8</v>
      </c>
      <c r="J126">
        <v>91.3</v>
      </c>
      <c r="K126">
        <v>127.24969315472461</v>
      </c>
      <c r="L126">
        <v>103.4</v>
      </c>
      <c r="M126">
        <v>109.5</v>
      </c>
      <c r="N126">
        <v>128.1</v>
      </c>
      <c r="O126">
        <v>89.1</v>
      </c>
      <c r="P126">
        <v>114.8</v>
      </c>
      <c r="Q126">
        <v>108.1</v>
      </c>
      <c r="R126">
        <v>141.9</v>
      </c>
      <c r="S126">
        <v>103.6</v>
      </c>
      <c r="T126">
        <v>93.7</v>
      </c>
      <c r="U126">
        <v>121.5</v>
      </c>
      <c r="V126">
        <v>126</v>
      </c>
      <c r="W126">
        <v>115.5</v>
      </c>
      <c r="X126">
        <v>126.6</v>
      </c>
      <c r="Y126">
        <v>139.5</v>
      </c>
      <c r="Z126">
        <v>126.2</v>
      </c>
      <c r="AA126">
        <v>114.3</v>
      </c>
      <c r="AB126">
        <v>94.7</v>
      </c>
      <c r="AC126">
        <v>124.7</v>
      </c>
      <c r="AD126">
        <v>118.6</v>
      </c>
      <c r="AE126">
        <v>125.3</v>
      </c>
      <c r="AF126">
        <v>120.4</v>
      </c>
      <c r="AG126">
        <v>125.9</v>
      </c>
      <c r="AH126">
        <v>108</v>
      </c>
      <c r="AI126">
        <v>96.9</v>
      </c>
      <c r="AJ126">
        <v>133.69999999999999</v>
      </c>
      <c r="AK126">
        <v>95.4</v>
      </c>
      <c r="AL126">
        <v>84.1</v>
      </c>
      <c r="AM126">
        <v>115.1</v>
      </c>
      <c r="AN126">
        <v>111.7</v>
      </c>
      <c r="AP126" s="107"/>
    </row>
    <row r="127" spans="1:42">
      <c r="A127" s="106" cm="1">
        <f t="array" ref="A127:AN127">INDEX(INDICES,MATCH(EDATE(A126,1),'INDICES PRIX'!A:A,0),)</f>
        <v>45566</v>
      </c>
      <c r="B127">
        <v>125</v>
      </c>
      <c r="C127">
        <v>136.1</v>
      </c>
      <c r="D127">
        <v>133.80000000000001</v>
      </c>
      <c r="E127">
        <v>132.19999999999999</v>
      </c>
      <c r="F127">
        <v>99.27</v>
      </c>
      <c r="G127">
        <v>118</v>
      </c>
      <c r="H127">
        <v>124.1</v>
      </c>
      <c r="I127">
        <v>137.5</v>
      </c>
      <c r="J127">
        <v>90.1</v>
      </c>
      <c r="K127">
        <v>129.53657117324781</v>
      </c>
      <c r="L127">
        <v>103.1</v>
      </c>
      <c r="M127">
        <v>109.3</v>
      </c>
      <c r="N127">
        <v>128.19999999999999</v>
      </c>
      <c r="O127">
        <v>86.4</v>
      </c>
      <c r="P127">
        <v>114</v>
      </c>
      <c r="Q127">
        <v>108.8</v>
      </c>
      <c r="R127">
        <v>142.6</v>
      </c>
      <c r="S127">
        <v>104</v>
      </c>
      <c r="T127">
        <v>90.7</v>
      </c>
      <c r="U127">
        <v>114.1</v>
      </c>
      <c r="V127">
        <v>127.3</v>
      </c>
      <c r="W127">
        <v>116.5</v>
      </c>
      <c r="X127">
        <v>126.9</v>
      </c>
      <c r="Y127">
        <v>139.1</v>
      </c>
      <c r="Z127">
        <v>126.6</v>
      </c>
      <c r="AA127">
        <v>114.2</v>
      </c>
      <c r="AB127">
        <v>93.9</v>
      </c>
      <c r="AC127">
        <v>121.2</v>
      </c>
      <c r="AD127">
        <v>119</v>
      </c>
      <c r="AE127">
        <v>124.5</v>
      </c>
      <c r="AF127">
        <v>117.7</v>
      </c>
      <c r="AG127">
        <v>120.7</v>
      </c>
      <c r="AH127">
        <v>107</v>
      </c>
      <c r="AI127">
        <v>87.5</v>
      </c>
      <c r="AJ127">
        <v>138</v>
      </c>
      <c r="AK127">
        <v>94.6</v>
      </c>
      <c r="AL127">
        <v>85.3</v>
      </c>
      <c r="AM127">
        <v>115.2</v>
      </c>
      <c r="AN127">
        <v>108.8</v>
      </c>
      <c r="AP127" s="107"/>
    </row>
    <row r="128" spans="1:42">
      <c r="A128" s="106" cm="1">
        <f t="array" ref="A128:AN128">INDEX(INDICES,MATCH(EDATE(A127,1),'INDICES PRIX'!A:A,0),)</f>
        <v>45597</v>
      </c>
      <c r="B128">
        <v>124.8</v>
      </c>
      <c r="C128">
        <v>136.5</v>
      </c>
      <c r="D128">
        <v>134.1</v>
      </c>
      <c r="E128">
        <v>133.80000000000001</v>
      </c>
      <c r="F128">
        <v>100.25</v>
      </c>
      <c r="G128">
        <v>118.5</v>
      </c>
      <c r="H128">
        <v>124.1</v>
      </c>
      <c r="I128">
        <v>156.5</v>
      </c>
      <c r="J128">
        <v>103.1</v>
      </c>
      <c r="K128">
        <v>132.58574186461206</v>
      </c>
      <c r="L128">
        <v>102.9</v>
      </c>
      <c r="M128">
        <v>109.3</v>
      </c>
      <c r="N128">
        <v>127.7</v>
      </c>
      <c r="O128">
        <v>85.7</v>
      </c>
      <c r="P128">
        <v>113.9</v>
      </c>
      <c r="Q128">
        <v>107.5</v>
      </c>
      <c r="R128">
        <v>140.5</v>
      </c>
      <c r="S128">
        <v>106.2</v>
      </c>
      <c r="T128">
        <v>90.6</v>
      </c>
      <c r="U128">
        <v>128.6</v>
      </c>
      <c r="V128">
        <v>127.8</v>
      </c>
      <c r="W128">
        <v>114.4</v>
      </c>
      <c r="X128">
        <v>127.4</v>
      </c>
      <c r="Y128">
        <v>137.5</v>
      </c>
      <c r="Z128">
        <v>127.7</v>
      </c>
      <c r="AA128">
        <v>114.1</v>
      </c>
      <c r="AB128">
        <v>93.9</v>
      </c>
      <c r="AC128">
        <v>123.4</v>
      </c>
      <c r="AD128">
        <v>118.9</v>
      </c>
      <c r="AE128">
        <v>123.7</v>
      </c>
      <c r="AF128">
        <v>119.9</v>
      </c>
      <c r="AG128">
        <v>124.3</v>
      </c>
      <c r="AH128">
        <v>106.1</v>
      </c>
      <c r="AI128">
        <v>88.7</v>
      </c>
      <c r="AJ128">
        <v>135.69999999999999</v>
      </c>
      <c r="AK128">
        <v>94.2</v>
      </c>
      <c r="AL128">
        <v>83.3</v>
      </c>
      <c r="AM128">
        <v>115.2</v>
      </c>
      <c r="AN128">
        <v>108.8</v>
      </c>
      <c r="AP128" s="107"/>
    </row>
    <row r="129" spans="1:42">
      <c r="A129" s="106" cm="1">
        <f t="array" ref="A129:AN129">INDEX(INDICES,MATCH(EDATE(A128,1),'INDICES PRIX'!A:A,0),)</f>
        <v>45627</v>
      </c>
      <c r="B129">
        <v>124.9</v>
      </c>
      <c r="C129">
        <v>136.9</v>
      </c>
      <c r="D129">
        <v>134.30000000000001</v>
      </c>
      <c r="E129">
        <v>135.5</v>
      </c>
      <c r="F129">
        <v>101.49</v>
      </c>
      <c r="G129">
        <v>119.4</v>
      </c>
      <c r="H129">
        <v>124.1</v>
      </c>
      <c r="I129">
        <v>172.9</v>
      </c>
      <c r="J129">
        <v>111.3</v>
      </c>
      <c r="K129">
        <v>135.15626366837844</v>
      </c>
      <c r="L129">
        <v>102.7</v>
      </c>
      <c r="M129">
        <v>109.3</v>
      </c>
      <c r="N129">
        <v>128.1</v>
      </c>
      <c r="O129">
        <v>85.8</v>
      </c>
      <c r="P129">
        <v>114.4</v>
      </c>
      <c r="Q129">
        <v>108</v>
      </c>
      <c r="R129">
        <v>141.69999999999999</v>
      </c>
      <c r="S129">
        <v>109.5</v>
      </c>
      <c r="T129">
        <v>90.4</v>
      </c>
      <c r="U129">
        <v>122.2</v>
      </c>
      <c r="V129">
        <v>133.4</v>
      </c>
      <c r="W129">
        <v>113.3</v>
      </c>
      <c r="X129">
        <v>127.6</v>
      </c>
      <c r="Y129">
        <v>134.80000000000001</v>
      </c>
      <c r="Z129">
        <v>128.69999999999999</v>
      </c>
      <c r="AA129">
        <v>114.3</v>
      </c>
      <c r="AB129">
        <v>93</v>
      </c>
      <c r="AC129">
        <v>121.9</v>
      </c>
      <c r="AD129">
        <v>119.7</v>
      </c>
      <c r="AE129">
        <v>120.2</v>
      </c>
      <c r="AF129">
        <v>120.6</v>
      </c>
      <c r="AG129">
        <v>124.4</v>
      </c>
      <c r="AH129">
        <v>105.8</v>
      </c>
      <c r="AI129">
        <v>89.8</v>
      </c>
      <c r="AJ129">
        <v>136.9</v>
      </c>
      <c r="AK129">
        <v>94.2</v>
      </c>
      <c r="AL129">
        <v>83.4</v>
      </c>
      <c r="AM129">
        <v>115.6</v>
      </c>
      <c r="AN129">
        <v>107.4</v>
      </c>
      <c r="AP129" s="107"/>
    </row>
    <row r="130" spans="1:42">
      <c r="A130" s="106" cm="1">
        <f t="array" ref="A130:AN130">INDEX(INDICES,MATCH(EDATE(A129,1),'INDICES PRIX'!A:A,0),)</f>
        <v>45658</v>
      </c>
      <c r="B130">
        <v>124.3</v>
      </c>
      <c r="C130">
        <v>137.19999999999999</v>
      </c>
      <c r="D130">
        <v>134.6</v>
      </c>
      <c r="E130">
        <v>157.1</v>
      </c>
      <c r="F130">
        <v>104.75</v>
      </c>
      <c r="G130">
        <v>118</v>
      </c>
      <c r="H130">
        <v>123.5</v>
      </c>
      <c r="I130">
        <v>182.9</v>
      </c>
      <c r="J130">
        <v>115.1</v>
      </c>
      <c r="K130">
        <v>143.16999999999999</v>
      </c>
      <c r="L130">
        <v>102.1</v>
      </c>
      <c r="M130">
        <v>110.9</v>
      </c>
      <c r="N130">
        <v>131.19999999999999</v>
      </c>
      <c r="O130">
        <v>86.3</v>
      </c>
      <c r="P130">
        <v>116.8</v>
      </c>
      <c r="Q130">
        <v>107.1</v>
      </c>
      <c r="R130">
        <v>147.5</v>
      </c>
      <c r="S130">
        <v>118.1</v>
      </c>
      <c r="T130">
        <v>90.3</v>
      </c>
      <c r="U130">
        <v>124</v>
      </c>
      <c r="V130">
        <v>125.8</v>
      </c>
      <c r="W130">
        <v>115.4</v>
      </c>
      <c r="X130">
        <v>127.2</v>
      </c>
      <c r="Y130">
        <v>139.80000000000001</v>
      </c>
      <c r="Z130">
        <v>127.5</v>
      </c>
      <c r="AA130">
        <v>115.1</v>
      </c>
      <c r="AB130">
        <v>94.2</v>
      </c>
      <c r="AC130">
        <v>123.3</v>
      </c>
      <c r="AD130">
        <v>118.1</v>
      </c>
      <c r="AE130">
        <v>123.9</v>
      </c>
      <c r="AF130">
        <v>117.4</v>
      </c>
      <c r="AG130">
        <v>119.9</v>
      </c>
      <c r="AH130">
        <v>106.3</v>
      </c>
      <c r="AI130">
        <v>87.7</v>
      </c>
      <c r="AJ130">
        <v>134.4</v>
      </c>
      <c r="AK130">
        <v>92.7</v>
      </c>
      <c r="AL130">
        <v>80.400000000000006</v>
      </c>
      <c r="AM130">
        <v>118.1</v>
      </c>
      <c r="AN130">
        <v>109</v>
      </c>
      <c r="AP130" s="107"/>
    </row>
    <row r="131" spans="1:42">
      <c r="A131" s="108" cm="1">
        <f t="array" ref="A131:AN131">INDEX(INDICES,MATCH(EDATE(A130,1),'INDICES PRIX'!A:A,0),)</f>
        <v>45689</v>
      </c>
      <c r="B131" s="109">
        <v>124.8</v>
      </c>
      <c r="C131" s="109">
        <v>137.4</v>
      </c>
      <c r="D131" s="109">
        <v>134.9</v>
      </c>
      <c r="E131" s="109">
        <v>155.6</v>
      </c>
      <c r="F131" s="109">
        <v>104.6</v>
      </c>
      <c r="G131" s="109">
        <v>118.8</v>
      </c>
      <c r="H131" s="109">
        <v>123.5</v>
      </c>
      <c r="I131" s="109">
        <v>162.4</v>
      </c>
      <c r="J131" s="109">
        <v>113.8</v>
      </c>
      <c r="K131" s="109">
        <v>142.03</v>
      </c>
      <c r="L131" s="109">
        <v>101.2</v>
      </c>
      <c r="M131" s="109">
        <v>110.9</v>
      </c>
      <c r="N131" s="109">
        <v>130.19999999999999</v>
      </c>
      <c r="O131" s="109">
        <v>87.5</v>
      </c>
      <c r="P131" s="109">
        <v>116.7</v>
      </c>
      <c r="Q131" s="109">
        <v>107.2</v>
      </c>
      <c r="R131" s="109">
        <v>146.30000000000001</v>
      </c>
      <c r="S131" s="109">
        <v>118</v>
      </c>
      <c r="T131" s="109">
        <v>91.2</v>
      </c>
      <c r="U131" s="109">
        <v>129.19999999999999</v>
      </c>
      <c r="V131" s="109">
        <v>128.19999999999999</v>
      </c>
      <c r="W131" s="109">
        <v>116.3</v>
      </c>
      <c r="X131" s="109">
        <v>128.69999999999999</v>
      </c>
      <c r="Y131" s="109">
        <v>139.6</v>
      </c>
      <c r="Z131" s="109">
        <v>128.19999999999999</v>
      </c>
      <c r="AA131" s="109">
        <v>115</v>
      </c>
      <c r="AB131" s="109">
        <v>94.6</v>
      </c>
      <c r="AC131" s="109">
        <v>120.3</v>
      </c>
      <c r="AD131" s="109">
        <v>118.6</v>
      </c>
      <c r="AE131" s="109">
        <v>126.7</v>
      </c>
      <c r="AF131" s="109">
        <v>116.5</v>
      </c>
      <c r="AG131" s="109">
        <v>116.7</v>
      </c>
      <c r="AH131" s="109">
        <v>106.8</v>
      </c>
      <c r="AI131" s="109">
        <v>87.2</v>
      </c>
      <c r="AJ131" s="109">
        <v>135.4</v>
      </c>
      <c r="AK131" s="109">
        <v>94</v>
      </c>
      <c r="AL131" s="109">
        <v>80.7</v>
      </c>
      <c r="AM131" s="109">
        <v>118.3</v>
      </c>
      <c r="AN131" s="109">
        <v>109.6</v>
      </c>
      <c r="AO131" s="109"/>
      <c r="AP131" s="110"/>
    </row>
    <row r="132" spans="1:42">
      <c r="A132" s="95" t="s">
        <v>198</v>
      </c>
      <c r="B132">
        <f t="shared" ref="B132:AP132" si="7">SUM(B120:B131)</f>
        <v>1498.8999999999999</v>
      </c>
      <c r="C132">
        <f t="shared" si="7"/>
        <v>1623.4000000000003</v>
      </c>
      <c r="D132">
        <f t="shared" si="7"/>
        <v>1600</v>
      </c>
      <c r="E132">
        <f t="shared" si="7"/>
        <v>1696.0999999999997</v>
      </c>
      <c r="F132">
        <f t="shared" si="7"/>
        <v>1245.58</v>
      </c>
      <c r="G132">
        <f t="shared" si="7"/>
        <v>1423.4</v>
      </c>
      <c r="H132">
        <f t="shared" si="7"/>
        <v>1486.1000000000001</v>
      </c>
      <c r="I132">
        <f t="shared" si="7"/>
        <v>1767.4000000000003</v>
      </c>
      <c r="J132">
        <f t="shared" si="7"/>
        <v>1071.2</v>
      </c>
      <c r="K132">
        <f t="shared" si="7"/>
        <v>1686.3471158916091</v>
      </c>
      <c r="L132">
        <f t="shared" si="7"/>
        <v>1241.5</v>
      </c>
      <c r="M132">
        <f t="shared" si="7"/>
        <v>1308.4000000000001</v>
      </c>
      <c r="N132">
        <f t="shared" si="7"/>
        <v>1547.9</v>
      </c>
      <c r="O132">
        <f t="shared" si="7"/>
        <v>1054.5999999999999</v>
      </c>
      <c r="P132">
        <f t="shared" si="7"/>
        <v>1386.5</v>
      </c>
      <c r="Q132">
        <f t="shared" si="7"/>
        <v>1291.4999999999998</v>
      </c>
      <c r="R132">
        <f t="shared" si="7"/>
        <v>1719.9</v>
      </c>
      <c r="S132">
        <f t="shared" si="7"/>
        <v>1310.8</v>
      </c>
      <c r="T132">
        <f t="shared" si="7"/>
        <v>1101.1000000000001</v>
      </c>
      <c r="U132">
        <f t="shared" si="7"/>
        <v>1512.3000000000002</v>
      </c>
      <c r="V132">
        <f t="shared" si="7"/>
        <v>1539.8000000000002</v>
      </c>
      <c r="W132">
        <f t="shared" si="7"/>
        <v>1384.7</v>
      </c>
      <c r="X132">
        <f t="shared" si="7"/>
        <v>1530.6</v>
      </c>
      <c r="Y132">
        <f t="shared" si="7"/>
        <v>1664.6999999999998</v>
      </c>
      <c r="Z132">
        <f t="shared" si="7"/>
        <v>1542</v>
      </c>
      <c r="AA132">
        <f t="shared" si="7"/>
        <v>1368</v>
      </c>
      <c r="AB132">
        <f t="shared" si="7"/>
        <v>1139.1999999999998</v>
      </c>
      <c r="AC132">
        <f t="shared" si="7"/>
        <v>1482.5000000000002</v>
      </c>
      <c r="AD132">
        <f t="shared" si="7"/>
        <v>1440.3999999999999</v>
      </c>
      <c r="AE132">
        <f t="shared" si="7"/>
        <v>1492.3000000000002</v>
      </c>
      <c r="AF132">
        <f t="shared" si="7"/>
        <v>1408.2</v>
      </c>
      <c r="AG132">
        <f t="shared" si="7"/>
        <v>1442.3000000000002</v>
      </c>
      <c r="AH132">
        <f t="shared" si="7"/>
        <v>1279.5</v>
      </c>
      <c r="AI132">
        <f t="shared" si="7"/>
        <v>1129.3</v>
      </c>
      <c r="AJ132">
        <f t="shared" si="7"/>
        <v>1632.5000000000002</v>
      </c>
      <c r="AK132">
        <f t="shared" si="7"/>
        <v>1144.4000000000001</v>
      </c>
      <c r="AL132">
        <f t="shared" si="7"/>
        <v>1024.8999999999999</v>
      </c>
      <c r="AM132">
        <f t="shared" si="7"/>
        <v>1389.9999999999998</v>
      </c>
      <c r="AN132">
        <f t="shared" si="7"/>
        <v>1324.1999999999998</v>
      </c>
      <c r="AO132">
        <f t="shared" si="7"/>
        <v>0</v>
      </c>
      <c r="AP132">
        <f t="shared" si="7"/>
        <v>0</v>
      </c>
    </row>
    <row r="134" spans="1:42">
      <c r="B134" s="237" t="str">
        <f>"CUMULS EN N-2 ("&amp;TEXT(EDATE(DATE4,-24),"aaaa")&amp;")"</f>
        <v>CUMULS EN N-2 (2024)</v>
      </c>
      <c r="C134" s="237"/>
      <c r="D134" s="237"/>
    </row>
    <row r="135" spans="1:42">
      <c r="A135" s="104" cm="1">
        <f t="array" ref="A135:AN135">INDEX(INDICES,MATCH(EDATE(DATE4,-35),'INDICES PRIX'!A:A,0),)</f>
        <v>44986</v>
      </c>
      <c r="B135" s="43">
        <v>119.4</v>
      </c>
      <c r="C135" s="43">
        <v>130</v>
      </c>
      <c r="D135" s="43">
        <v>128.30000000000001</v>
      </c>
      <c r="E135" s="43">
        <v>138.6</v>
      </c>
      <c r="F135" s="43">
        <v>112.8</v>
      </c>
      <c r="G135" s="43">
        <v>116.3</v>
      </c>
      <c r="H135" s="43">
        <v>118</v>
      </c>
      <c r="I135" s="43">
        <v>251.0348186023862</v>
      </c>
      <c r="J135" s="43">
        <v>121.69936568815459</v>
      </c>
      <c r="K135" s="43">
        <v>160.73738754999823</v>
      </c>
      <c r="L135" s="43">
        <v>119.72263670674977</v>
      </c>
      <c r="M135" s="43">
        <v>116.9</v>
      </c>
      <c r="N135" s="43">
        <v>125.2115059221658</v>
      </c>
      <c r="O135" s="43">
        <v>101.78371696002826</v>
      </c>
      <c r="P135" s="43">
        <v>115.18877894130081</v>
      </c>
      <c r="Q135" s="43">
        <v>117.96317505065633</v>
      </c>
      <c r="R135" s="43">
        <v>145.78587699316626</v>
      </c>
      <c r="S135" s="43">
        <v>125.94238552495833</v>
      </c>
      <c r="T135" s="43">
        <v>108.66417280077229</v>
      </c>
      <c r="U135" s="43">
        <v>112.42022582228768</v>
      </c>
      <c r="V135" s="43">
        <v>130.81979185685597</v>
      </c>
      <c r="W135" s="43">
        <v>117.26512543039843</v>
      </c>
      <c r="X135" s="43">
        <v>128.96785785585945</v>
      </c>
      <c r="Y135" s="43">
        <v>138.32742599865887</v>
      </c>
      <c r="Z135" s="43">
        <v>123.1252179979072</v>
      </c>
      <c r="AA135" s="43">
        <v>112.36057780215761</v>
      </c>
      <c r="AB135" s="43">
        <v>103.99151707945164</v>
      </c>
      <c r="AC135" s="43">
        <v>134.29590327911632</v>
      </c>
      <c r="AD135" s="43">
        <v>125.96181248218866</v>
      </c>
      <c r="AE135" s="43">
        <v>120.42973488130308</v>
      </c>
      <c r="AF135" s="43">
        <v>118.22053951727402</v>
      </c>
      <c r="AG135" s="43">
        <v>120.56470588235294</v>
      </c>
      <c r="AH135" s="43">
        <v>110.58435535401421</v>
      </c>
      <c r="AI135" s="43">
        <v>101.55570586530099</v>
      </c>
      <c r="AJ135" s="43">
        <v>139.25039042165537</v>
      </c>
      <c r="AK135" s="43">
        <v>122.01707655257971</v>
      </c>
      <c r="AL135" s="43">
        <v>90.633844533666803</v>
      </c>
      <c r="AM135" s="43">
        <v>111.27118644067798</v>
      </c>
      <c r="AN135" s="43">
        <v>111.01737810021933</v>
      </c>
      <c r="AO135" s="43"/>
      <c r="AP135" s="7"/>
    </row>
    <row r="136" spans="1:42">
      <c r="A136" s="106" cm="1">
        <f t="array" ref="A136:AN136">INDEX(INDICES,MATCH(EDATE(A135,1),'INDICES PRIX'!A:A,0),)</f>
        <v>45017</v>
      </c>
      <c r="B136">
        <v>122.6</v>
      </c>
      <c r="C136">
        <v>130.4</v>
      </c>
      <c r="D136">
        <v>128.6</v>
      </c>
      <c r="E136">
        <v>130.80000000000001</v>
      </c>
      <c r="F136">
        <v>110.37</v>
      </c>
      <c r="G136">
        <v>117.5</v>
      </c>
      <c r="H136">
        <v>118.7</v>
      </c>
      <c r="I136">
        <v>228.30939047155266</v>
      </c>
      <c r="J136">
        <v>104.44018291783449</v>
      </c>
      <c r="K136">
        <v>153.64629291891859</v>
      </c>
      <c r="L136">
        <v>117.70385324321951</v>
      </c>
      <c r="M136">
        <v>113.9</v>
      </c>
      <c r="N136">
        <v>128.31359278059784</v>
      </c>
      <c r="O136">
        <v>101.07729440160121</v>
      </c>
      <c r="P136">
        <v>116.43769814583534</v>
      </c>
      <c r="Q136">
        <v>116.8179015064752</v>
      </c>
      <c r="R136">
        <v>142.46393318147304</v>
      </c>
      <c r="S136">
        <v>117.84778985794779</v>
      </c>
      <c r="T136">
        <v>107.94014721853506</v>
      </c>
      <c r="U136">
        <v>116.65439371624939</v>
      </c>
      <c r="V136">
        <v>128.08106627715904</v>
      </c>
      <c r="W136">
        <v>115.39596655189375</v>
      </c>
      <c r="X136">
        <v>131.66300658814134</v>
      </c>
      <c r="Y136">
        <v>139.86013986013987</v>
      </c>
      <c r="Z136">
        <v>122.602023020579</v>
      </c>
      <c r="AA136">
        <v>113.09197293837995</v>
      </c>
      <c r="AB136">
        <v>102.32522911459516</v>
      </c>
      <c r="AC136">
        <v>133.33913194746458</v>
      </c>
      <c r="AD136">
        <v>125.10686805357651</v>
      </c>
      <c r="AE136">
        <v>120.16981459019235</v>
      </c>
      <c r="AF136">
        <v>117.46332229058211</v>
      </c>
      <c r="AG136">
        <v>119.15294117647058</v>
      </c>
      <c r="AH136">
        <v>108.52313717406987</v>
      </c>
      <c r="AI136">
        <v>102.42535510677361</v>
      </c>
      <c r="AJ136">
        <v>140.20475446815894</v>
      </c>
      <c r="AK136">
        <v>106.69196526308106</v>
      </c>
      <c r="AL136">
        <v>96.755084578424274</v>
      </c>
      <c r="AM136">
        <v>111.10169491525424</v>
      </c>
      <c r="AN136">
        <v>110.08942129239075</v>
      </c>
      <c r="AP136" s="107"/>
    </row>
    <row r="137" spans="1:42">
      <c r="A137" s="106" cm="1">
        <f t="array" ref="A137:AN137">INDEX(INDICES,MATCH(EDATE(A136,1),'INDICES PRIX'!A:A,0),)</f>
        <v>45047</v>
      </c>
      <c r="B137">
        <v>122.2</v>
      </c>
      <c r="C137">
        <v>130.9</v>
      </c>
      <c r="D137">
        <v>128.9</v>
      </c>
      <c r="E137">
        <v>122.4</v>
      </c>
      <c r="F137">
        <v>103.16</v>
      </c>
      <c r="G137">
        <v>117.6</v>
      </c>
      <c r="H137">
        <v>118.7</v>
      </c>
      <c r="I137">
        <v>203.63606850093336</v>
      </c>
      <c r="J137">
        <v>92.934061070954414</v>
      </c>
      <c r="K137">
        <v>137.76224094530016</v>
      </c>
      <c r="L137">
        <v>116.73834810848767</v>
      </c>
      <c r="M137">
        <v>113.9</v>
      </c>
      <c r="N137">
        <v>128.12558751645045</v>
      </c>
      <c r="O137">
        <v>98.722552540177773</v>
      </c>
      <c r="P137">
        <v>115.95734460562976</v>
      </c>
      <c r="Q137">
        <v>115.055942207735</v>
      </c>
      <c r="R137">
        <v>144.07744874715263</v>
      </c>
      <c r="S137">
        <v>108.2453773510039</v>
      </c>
      <c r="T137">
        <v>104.98370942439966</v>
      </c>
      <c r="U137">
        <v>122.79086892488955</v>
      </c>
      <c r="V137">
        <v>127.62461201387623</v>
      </c>
      <c r="W137">
        <v>115.49434333497295</v>
      </c>
      <c r="X137">
        <v>133.65941305649829</v>
      </c>
      <c r="Y137">
        <v>140.43490755819522</v>
      </c>
      <c r="Z137">
        <v>124.7820020927799</v>
      </c>
      <c r="AA137">
        <v>112.54342658621319</v>
      </c>
      <c r="AB137">
        <v>98.613951374687559</v>
      </c>
      <c r="AC137">
        <v>131.94746455597112</v>
      </c>
      <c r="AD137">
        <v>124.63189892656976</v>
      </c>
      <c r="AE137">
        <v>120.34309478426617</v>
      </c>
      <c r="AF137">
        <v>117.74727875059158</v>
      </c>
      <c r="AG137">
        <v>119.52941176470588</v>
      </c>
      <c r="AH137">
        <v>108.83231990106151</v>
      </c>
      <c r="AI137">
        <v>102.61861049376752</v>
      </c>
      <c r="AJ137">
        <v>137.34166232864828</v>
      </c>
      <c r="AK137">
        <v>105.01350069327884</v>
      </c>
      <c r="AL137">
        <v>97.084183505561768</v>
      </c>
      <c r="AM137">
        <v>111.10169491525424</v>
      </c>
      <c r="AN137">
        <v>108.23350767673359</v>
      </c>
      <c r="AP137" s="107"/>
    </row>
    <row r="138" spans="1:42">
      <c r="A138" s="106" cm="1">
        <f t="array" ref="A138:AN138">INDEX(INDICES,MATCH(EDATE(A137,1),'INDICES PRIX'!A:A,0),)</f>
        <v>45078</v>
      </c>
      <c r="B138">
        <v>122.3</v>
      </c>
      <c r="C138">
        <v>131.4</v>
      </c>
      <c r="D138">
        <v>129.19999999999999</v>
      </c>
      <c r="E138">
        <v>124.3</v>
      </c>
      <c r="F138">
        <v>104.01</v>
      </c>
      <c r="G138">
        <v>117.5</v>
      </c>
      <c r="H138">
        <v>118.7</v>
      </c>
      <c r="I138">
        <v>163.13610908205504</v>
      </c>
      <c r="J138">
        <v>76.953336283620985</v>
      </c>
      <c r="K138">
        <v>140.22639632960036</v>
      </c>
      <c r="L138">
        <v>115.50952339155621</v>
      </c>
      <c r="M138">
        <v>113.8</v>
      </c>
      <c r="N138">
        <v>128.40759541267153</v>
      </c>
      <c r="O138">
        <v>93.542120445046208</v>
      </c>
      <c r="P138">
        <v>114.70842540109521</v>
      </c>
      <c r="Q138">
        <v>114.96784424279799</v>
      </c>
      <c r="R138">
        <v>143.79271070615033</v>
      </c>
      <c r="S138">
        <v>118.95881279263551</v>
      </c>
      <c r="T138">
        <v>101.24291058284061</v>
      </c>
      <c r="U138">
        <v>117.94305351006382</v>
      </c>
      <c r="V138">
        <v>130.08946503560344</v>
      </c>
      <c r="W138">
        <v>115.49434333497295</v>
      </c>
      <c r="X138">
        <v>134.45797564384108</v>
      </c>
      <c r="Y138">
        <v>139.4769613947696</v>
      </c>
      <c r="Z138">
        <v>126.4387861876526</v>
      </c>
      <c r="AA138">
        <v>112.72627537026878</v>
      </c>
      <c r="AB138">
        <v>95.129894720896758</v>
      </c>
      <c r="AC138">
        <v>130.03392189266765</v>
      </c>
      <c r="AD138">
        <v>124.72689275197114</v>
      </c>
      <c r="AE138">
        <v>118.69693294056491</v>
      </c>
      <c r="AF138">
        <v>120.58684335068624</v>
      </c>
      <c r="AG138">
        <v>123.2</v>
      </c>
      <c r="AH138">
        <v>112.33639080696692</v>
      </c>
      <c r="AI138">
        <v>102.81186588076145</v>
      </c>
      <c r="AJ138">
        <v>140.81207704320667</v>
      </c>
      <c r="AK138">
        <v>104.21075676859083</v>
      </c>
      <c r="AL138">
        <v>95.965247153294285</v>
      </c>
      <c r="AM138">
        <v>111.27118644067798</v>
      </c>
      <c r="AN138">
        <v>105.53399696305044</v>
      </c>
      <c r="AP138" s="107"/>
    </row>
    <row r="139" spans="1:42">
      <c r="A139" s="106" cm="1">
        <f t="array" ref="A139:AN139">INDEX(INDICES,MATCH(EDATE(A138,1),'INDICES PRIX'!A:A,0),)</f>
        <v>45108</v>
      </c>
      <c r="B139">
        <v>122.9</v>
      </c>
      <c r="C139">
        <v>131.5</v>
      </c>
      <c r="D139">
        <v>129.5</v>
      </c>
      <c r="E139">
        <v>129.1</v>
      </c>
      <c r="F139">
        <v>104.89</v>
      </c>
      <c r="G139">
        <v>119.6</v>
      </c>
      <c r="H139">
        <v>119.1</v>
      </c>
      <c r="I139">
        <v>159.48380813245677</v>
      </c>
      <c r="J139">
        <v>76.461621674779948</v>
      </c>
      <c r="K139">
        <v>143.22238381123148</v>
      </c>
      <c r="L139">
        <v>113.40296673395945</v>
      </c>
      <c r="M139">
        <v>110.8</v>
      </c>
      <c r="N139">
        <v>126.90355329949237</v>
      </c>
      <c r="O139">
        <v>89.421322187555191</v>
      </c>
      <c r="P139">
        <v>115.28484964934192</v>
      </c>
      <c r="Q139">
        <v>112.14870936481367</v>
      </c>
      <c r="R139">
        <v>141.32498101746393</v>
      </c>
      <c r="S139">
        <v>117.45099595270217</v>
      </c>
      <c r="T139">
        <v>95.69204778568843</v>
      </c>
      <c r="U139">
        <v>123.89543446244478</v>
      </c>
      <c r="V139">
        <v>133.01077232061348</v>
      </c>
      <c r="W139">
        <v>114.60895228726021</v>
      </c>
      <c r="X139">
        <v>131.86264723497703</v>
      </c>
      <c r="Y139">
        <v>139.4769613947696</v>
      </c>
      <c r="Z139">
        <v>124.69480292989186</v>
      </c>
      <c r="AA139">
        <v>112.72627537026878</v>
      </c>
      <c r="AB139">
        <v>89.752329016132691</v>
      </c>
      <c r="AC139">
        <v>130.64277637644602</v>
      </c>
      <c r="AD139">
        <v>124.91688040277383</v>
      </c>
      <c r="AE139">
        <v>117.65725177612201</v>
      </c>
      <c r="AF139">
        <v>111.50023663038334</v>
      </c>
      <c r="AG139">
        <v>110.21176470588235</v>
      </c>
      <c r="AH139">
        <v>109.03844171905595</v>
      </c>
      <c r="AI139">
        <v>101.55570586530099</v>
      </c>
      <c r="AJ139">
        <v>141.76644108971021</v>
      </c>
      <c r="AK139">
        <v>102.09443187623148</v>
      </c>
      <c r="AL139">
        <v>96.425985651286766</v>
      </c>
      <c r="AM139">
        <v>111.35593220338984</v>
      </c>
      <c r="AN139">
        <v>104.52168044541928</v>
      </c>
      <c r="AP139" s="107"/>
    </row>
    <row r="140" spans="1:42">
      <c r="A140" s="106" cm="1">
        <f t="array" ref="A140:AN140">INDEX(INDICES,MATCH(EDATE(A139,1),'INDICES PRIX'!A:A,0),)</f>
        <v>45139</v>
      </c>
      <c r="B140">
        <v>122.8</v>
      </c>
      <c r="C140">
        <v>131.6</v>
      </c>
      <c r="D140">
        <v>129.80000000000001</v>
      </c>
      <c r="E140">
        <v>143.19999999999999</v>
      </c>
      <c r="F140">
        <v>113.24</v>
      </c>
      <c r="G140">
        <v>119.3</v>
      </c>
      <c r="H140">
        <v>119.1</v>
      </c>
      <c r="I140">
        <v>157.53591429267104</v>
      </c>
      <c r="J140">
        <v>74.445591778531735</v>
      </c>
      <c r="K140">
        <v>161.6060466423055</v>
      </c>
      <c r="L140">
        <v>112.52523479329412</v>
      </c>
      <c r="M140">
        <v>110.5</v>
      </c>
      <c r="N140">
        <v>129.44162436548223</v>
      </c>
      <c r="O140">
        <v>87.419791605345253</v>
      </c>
      <c r="P140">
        <v>114.61235469305409</v>
      </c>
      <c r="Q140">
        <v>110.12245617126244</v>
      </c>
      <c r="R140">
        <v>140.47076689445709</v>
      </c>
      <c r="S140">
        <v>120.38727085151972</v>
      </c>
      <c r="T140">
        <v>93.881983830095322</v>
      </c>
      <c r="U140">
        <v>125.79774177712322</v>
      </c>
      <c r="V140">
        <v>129.54171991966408</v>
      </c>
      <c r="W140">
        <v>114.21544515494344</v>
      </c>
      <c r="X140">
        <v>131.5631862647235</v>
      </c>
      <c r="Y140">
        <v>139.18957754574194</v>
      </c>
      <c r="Z140">
        <v>126.35158702476457</v>
      </c>
      <c r="AA140">
        <v>113.36624611446332</v>
      </c>
      <c r="AB140">
        <v>92.478982049534196</v>
      </c>
      <c r="AC140">
        <v>133.68704879533792</v>
      </c>
      <c r="AD140">
        <v>125.29685570437923</v>
      </c>
      <c r="AE140">
        <v>115.5778894472362</v>
      </c>
      <c r="AF140">
        <v>114.05584477046852</v>
      </c>
      <c r="AG140">
        <v>114.54117647058824</v>
      </c>
      <c r="AH140">
        <v>106.15273626713388</v>
      </c>
      <c r="AI140">
        <v>102.2320997197797</v>
      </c>
      <c r="AJ140">
        <v>143.50164844698941</v>
      </c>
      <c r="AK140">
        <v>101.43764139239582</v>
      </c>
      <c r="AL140">
        <v>94.122293161324293</v>
      </c>
      <c r="AM140">
        <v>111.35593220338984</v>
      </c>
      <c r="AN140">
        <v>103.59372363759068</v>
      </c>
      <c r="AP140" s="107"/>
    </row>
    <row r="141" spans="1:42">
      <c r="A141" s="106" cm="1">
        <f t="array" ref="A141:AN141">INDEX(INDICES,MATCH(EDATE(A140,1),'INDICES PRIX'!A:A,0),)</f>
        <v>45170</v>
      </c>
      <c r="B141">
        <v>123.5</v>
      </c>
      <c r="C141">
        <v>131.69999999999999</v>
      </c>
      <c r="D141">
        <v>130.1</v>
      </c>
      <c r="E141">
        <v>151.1</v>
      </c>
      <c r="F141">
        <v>117.87</v>
      </c>
      <c r="G141">
        <v>117.2</v>
      </c>
      <c r="H141">
        <v>119.1</v>
      </c>
      <c r="I141">
        <v>168.41165489814139</v>
      </c>
      <c r="J141">
        <v>85.656684860107191</v>
      </c>
      <c r="K141">
        <v>173.39499146647546</v>
      </c>
      <c r="L141">
        <v>111.99859562889493</v>
      </c>
      <c r="M141">
        <v>110.5</v>
      </c>
      <c r="N141">
        <v>127.27956382778717</v>
      </c>
      <c r="O141">
        <v>86.360157767704706</v>
      </c>
      <c r="P141">
        <v>115.6691324815064</v>
      </c>
      <c r="Q141">
        <v>110.29865210113647</v>
      </c>
      <c r="R141">
        <v>140.09111617312072</v>
      </c>
      <c r="S141">
        <v>118.00650742004602</v>
      </c>
      <c r="T141">
        <v>94.304332086400393</v>
      </c>
      <c r="U141">
        <v>138.00932744231713</v>
      </c>
      <c r="V141">
        <v>128.99397480372468</v>
      </c>
      <c r="W141">
        <v>115.19921298573537</v>
      </c>
      <c r="X141">
        <v>130.0658814134558</v>
      </c>
      <c r="Y141">
        <v>139.18957754574194</v>
      </c>
      <c r="Z141">
        <v>126.4387861876526</v>
      </c>
      <c r="AA141">
        <v>113.36624611446332</v>
      </c>
      <c r="AB141">
        <v>93.993789290312804</v>
      </c>
      <c r="AC141">
        <v>134.38288249108464</v>
      </c>
      <c r="AD141">
        <v>124.72689275197114</v>
      </c>
      <c r="AE141">
        <v>118.09045226130655</v>
      </c>
      <c r="AF141">
        <v>115.00236630383341</v>
      </c>
      <c r="AG141">
        <v>116.04705882352941</v>
      </c>
      <c r="AH141">
        <v>108.83231990106151</v>
      </c>
      <c r="AI141">
        <v>102.61861049376752</v>
      </c>
      <c r="AJ141">
        <v>142.11348256116605</v>
      </c>
      <c r="AK141">
        <v>100.70787418813399</v>
      </c>
      <c r="AL141">
        <v>92.345158954781809</v>
      </c>
      <c r="AM141">
        <v>110.93220338983052</v>
      </c>
      <c r="AN141">
        <v>106.96811202969461</v>
      </c>
      <c r="AP141" s="107"/>
    </row>
    <row r="142" spans="1:42">
      <c r="A142" s="106" cm="1">
        <f t="array" ref="A142:AN142">INDEX(INDICES,MATCH(EDATE(A141,1),'INDICES PRIX'!A:A,0),)</f>
        <v>45200</v>
      </c>
      <c r="B142">
        <v>123.3</v>
      </c>
      <c r="C142">
        <v>131.9</v>
      </c>
      <c r="D142">
        <v>130.4</v>
      </c>
      <c r="E142">
        <v>146.5</v>
      </c>
      <c r="F142">
        <v>116.59</v>
      </c>
      <c r="G142">
        <v>118.1</v>
      </c>
      <c r="H142">
        <v>121.1</v>
      </c>
      <c r="I142">
        <v>170.3</v>
      </c>
      <c r="J142">
        <v>92.934061070954414</v>
      </c>
      <c r="K142">
        <v>168.14758143947654</v>
      </c>
      <c r="L142">
        <v>111.29641007636268</v>
      </c>
      <c r="M142">
        <v>109.3</v>
      </c>
      <c r="N142">
        <v>128.50159804474524</v>
      </c>
      <c r="O142">
        <v>86.831106139989402</v>
      </c>
      <c r="P142">
        <v>114.80449610913634</v>
      </c>
      <c r="Q142">
        <v>109.6819663465774</v>
      </c>
      <c r="R142">
        <v>139.90129081245254</v>
      </c>
      <c r="S142">
        <v>116.89548448535831</v>
      </c>
      <c r="T142">
        <v>92.313261735247977</v>
      </c>
      <c r="U142">
        <v>144.3912616593029</v>
      </c>
      <c r="V142">
        <v>129.90688333029033</v>
      </c>
      <c r="W142">
        <v>114.1</v>
      </c>
      <c r="X142">
        <v>129.9</v>
      </c>
      <c r="Y142">
        <v>139.6</v>
      </c>
      <c r="Z142">
        <v>125.6</v>
      </c>
      <c r="AA142">
        <v>113.3</v>
      </c>
      <c r="AB142">
        <v>95.8</v>
      </c>
      <c r="AC142">
        <v>127.9</v>
      </c>
      <c r="AD142">
        <v>124.3</v>
      </c>
      <c r="AE142">
        <v>115.1</v>
      </c>
      <c r="AF142">
        <v>113.9</v>
      </c>
      <c r="AG142">
        <v>113.9</v>
      </c>
      <c r="AH142">
        <v>110.1</v>
      </c>
      <c r="AI142">
        <v>103.2</v>
      </c>
      <c r="AJ142">
        <v>135.1</v>
      </c>
      <c r="AK142">
        <v>99.9</v>
      </c>
      <c r="AL142">
        <v>86.6</v>
      </c>
      <c r="AM142">
        <v>111.5</v>
      </c>
      <c r="AN142">
        <v>104.2</v>
      </c>
      <c r="AP142" s="107"/>
    </row>
    <row r="143" spans="1:42">
      <c r="A143" s="106" cm="1">
        <f t="array" ref="A143:AN143">INDEX(INDICES,MATCH(EDATE(A142,1),'INDICES PRIX'!A:A,0),)</f>
        <v>45231</v>
      </c>
      <c r="B143">
        <v>123</v>
      </c>
      <c r="C143">
        <v>132.1</v>
      </c>
      <c r="D143">
        <v>130.69999999999999</v>
      </c>
      <c r="E143">
        <v>139.4</v>
      </c>
      <c r="F143">
        <v>112.25</v>
      </c>
      <c r="G143">
        <v>116.8</v>
      </c>
      <c r="H143">
        <v>121.1</v>
      </c>
      <c r="I143">
        <v>204.4</v>
      </c>
      <c r="J143">
        <v>107.48881349264886</v>
      </c>
      <c r="K143">
        <v>159.30144088720465</v>
      </c>
      <c r="L143">
        <v>112.2</v>
      </c>
      <c r="M143">
        <v>109.2</v>
      </c>
      <c r="N143">
        <v>128.50159804474524</v>
      </c>
      <c r="O143">
        <v>88.3</v>
      </c>
      <c r="P143">
        <v>115.9</v>
      </c>
      <c r="Q143">
        <v>108.8</v>
      </c>
      <c r="R143">
        <v>139.5</v>
      </c>
      <c r="S143">
        <v>117.1</v>
      </c>
      <c r="T143">
        <v>93.4</v>
      </c>
      <c r="U143">
        <v>128.1</v>
      </c>
      <c r="V143">
        <v>129.19999999999999</v>
      </c>
      <c r="W143">
        <v>113.5</v>
      </c>
      <c r="X143">
        <v>130</v>
      </c>
      <c r="Y143">
        <v>138.19999999999999</v>
      </c>
      <c r="Z143">
        <v>126.7</v>
      </c>
      <c r="AA143">
        <v>113.1</v>
      </c>
      <c r="AB143">
        <v>94.9</v>
      </c>
      <c r="AC143">
        <v>127.3</v>
      </c>
      <c r="AD143">
        <v>123.4</v>
      </c>
      <c r="AE143">
        <v>115.9</v>
      </c>
      <c r="AF143">
        <v>117.3</v>
      </c>
      <c r="AG143">
        <v>119.1</v>
      </c>
      <c r="AH143">
        <v>109.2</v>
      </c>
      <c r="AI143">
        <v>101.9</v>
      </c>
      <c r="AJ143">
        <v>134.80000000000001</v>
      </c>
      <c r="AK143">
        <v>100</v>
      </c>
      <c r="AL143">
        <v>87.9</v>
      </c>
      <c r="AM143">
        <v>111.8</v>
      </c>
      <c r="AN143">
        <v>104.5</v>
      </c>
      <c r="AP143" s="107"/>
    </row>
    <row r="144" spans="1:42">
      <c r="A144" s="106" cm="1">
        <f t="array" ref="A144:AN144">INDEX(INDICES,MATCH(EDATE(A143,1),'INDICES PRIX'!A:A,0),)</f>
        <v>45261</v>
      </c>
      <c r="B144">
        <v>124.2</v>
      </c>
      <c r="C144">
        <v>132.30000000000001</v>
      </c>
      <c r="D144">
        <v>130.9</v>
      </c>
      <c r="E144">
        <v>132</v>
      </c>
      <c r="F144">
        <v>108.29</v>
      </c>
      <c r="G144">
        <v>117.9</v>
      </c>
      <c r="H144">
        <v>121.1</v>
      </c>
      <c r="I144">
        <v>224.9</v>
      </c>
      <c r="J144">
        <v>101.78492403009292</v>
      </c>
      <c r="K144">
        <v>150.73894412017594</v>
      </c>
      <c r="L144">
        <v>111.4</v>
      </c>
      <c r="M144">
        <v>109.2</v>
      </c>
      <c r="N144">
        <v>128.6</v>
      </c>
      <c r="O144">
        <v>89.3</v>
      </c>
      <c r="P144">
        <v>114.1</v>
      </c>
      <c r="Q144">
        <v>108.7</v>
      </c>
      <c r="R144">
        <v>138.80000000000001</v>
      </c>
      <c r="S144">
        <v>116.8</v>
      </c>
      <c r="T144">
        <v>93.2</v>
      </c>
      <c r="U144">
        <v>116.4</v>
      </c>
      <c r="V144">
        <v>129.6</v>
      </c>
      <c r="W144">
        <v>110.1</v>
      </c>
      <c r="X144">
        <v>129.1</v>
      </c>
      <c r="Y144">
        <v>135.6</v>
      </c>
      <c r="Z144">
        <v>128.6</v>
      </c>
      <c r="AA144">
        <v>112.9</v>
      </c>
      <c r="AB144">
        <v>95.1</v>
      </c>
      <c r="AC144">
        <v>126.2</v>
      </c>
      <c r="AD144">
        <v>123.5</v>
      </c>
      <c r="AE144">
        <v>116.1</v>
      </c>
      <c r="AF144">
        <v>116.1</v>
      </c>
      <c r="AG144">
        <v>117.6</v>
      </c>
      <c r="AH144">
        <v>107.8</v>
      </c>
      <c r="AI144">
        <v>101.8</v>
      </c>
      <c r="AJ144">
        <v>138.69999999999999</v>
      </c>
      <c r="AK144">
        <v>99.6</v>
      </c>
      <c r="AL144">
        <v>88.3</v>
      </c>
      <c r="AM144">
        <v>111.1</v>
      </c>
      <c r="AN144">
        <v>104.4</v>
      </c>
      <c r="AP144" s="107"/>
    </row>
    <row r="145" spans="1:42">
      <c r="A145" s="106" cm="1">
        <f t="array" ref="A145:AN145">INDEX(INDICES,MATCH(EDATE(A144,1),'INDICES PRIX'!A:A,0),)</f>
        <v>45292</v>
      </c>
      <c r="B145">
        <v>124</v>
      </c>
      <c r="C145">
        <v>132.5</v>
      </c>
      <c r="D145">
        <v>131.19999999999999</v>
      </c>
      <c r="E145">
        <v>146.30000000000001</v>
      </c>
      <c r="F145">
        <v>106.91</v>
      </c>
      <c r="G145">
        <v>116.8</v>
      </c>
      <c r="H145">
        <v>124</v>
      </c>
      <c r="I145">
        <v>209.3</v>
      </c>
      <c r="J145">
        <v>82.3</v>
      </c>
      <c r="K145">
        <v>148.45206610165278</v>
      </c>
      <c r="L145">
        <v>110</v>
      </c>
      <c r="M145">
        <v>106.9</v>
      </c>
      <c r="N145">
        <v>129.19999999999999</v>
      </c>
      <c r="O145">
        <v>90.3</v>
      </c>
      <c r="P145">
        <v>117.2</v>
      </c>
      <c r="Q145">
        <v>107.1</v>
      </c>
      <c r="R145">
        <v>145.4</v>
      </c>
      <c r="S145">
        <v>109.4</v>
      </c>
      <c r="T145">
        <v>93.2</v>
      </c>
      <c r="U145">
        <v>112.4</v>
      </c>
      <c r="V145">
        <v>129.5</v>
      </c>
      <c r="W145">
        <v>115.1</v>
      </c>
      <c r="X145">
        <v>128.19999999999999</v>
      </c>
      <c r="Y145">
        <v>138.4</v>
      </c>
      <c r="Z145">
        <v>128.4</v>
      </c>
      <c r="AA145">
        <v>112.8</v>
      </c>
      <c r="AB145">
        <v>92.3</v>
      </c>
      <c r="AC145">
        <v>127.5</v>
      </c>
      <c r="AD145">
        <v>123.2</v>
      </c>
      <c r="AE145">
        <v>118.6</v>
      </c>
      <c r="AF145">
        <v>115.9</v>
      </c>
      <c r="AG145">
        <v>117.1</v>
      </c>
      <c r="AH145">
        <v>106.4</v>
      </c>
      <c r="AI145">
        <v>100.4</v>
      </c>
      <c r="AJ145">
        <v>140.19999999999999</v>
      </c>
      <c r="AK145">
        <v>97.9</v>
      </c>
      <c r="AL145">
        <v>88.5</v>
      </c>
      <c r="AM145">
        <v>115.2</v>
      </c>
      <c r="AN145">
        <v>107.3</v>
      </c>
      <c r="AP145" s="107"/>
    </row>
    <row r="146" spans="1:42">
      <c r="A146" s="106" cm="1">
        <f t="array" ref="A146:AN146">INDEX(INDICES,MATCH(EDATE(A145,1),'INDICES PRIX'!A:A,0),)</f>
        <v>45323</v>
      </c>
      <c r="B146" s="109">
        <v>124.1</v>
      </c>
      <c r="C146" s="109">
        <v>132.69999999999999</v>
      </c>
      <c r="D146" s="109">
        <v>131.4</v>
      </c>
      <c r="E146" s="109">
        <v>152.9</v>
      </c>
      <c r="F146" s="109">
        <v>111.34</v>
      </c>
      <c r="G146" s="109">
        <v>117.8</v>
      </c>
      <c r="H146" s="109">
        <v>124</v>
      </c>
      <c r="I146" s="109">
        <v>193</v>
      </c>
      <c r="J146" s="109">
        <v>68.900000000000006</v>
      </c>
      <c r="K146" s="109">
        <v>159.28371315062699</v>
      </c>
      <c r="L146" s="109">
        <v>107.7</v>
      </c>
      <c r="M146" s="109">
        <v>106.9</v>
      </c>
      <c r="N146" s="109">
        <v>130.4</v>
      </c>
      <c r="O146" s="109">
        <v>91.2</v>
      </c>
      <c r="P146" s="109">
        <v>118.2</v>
      </c>
      <c r="Q146" s="109">
        <v>107.2</v>
      </c>
      <c r="R146" s="109">
        <v>144.5</v>
      </c>
      <c r="S146" s="109">
        <v>108.4</v>
      </c>
      <c r="T146" s="109">
        <v>95.4</v>
      </c>
      <c r="U146" s="109">
        <v>112.4</v>
      </c>
      <c r="V146" s="109">
        <v>124.4</v>
      </c>
      <c r="W146" s="109">
        <v>116.7</v>
      </c>
      <c r="X146" s="109">
        <v>129.1</v>
      </c>
      <c r="Y146" s="109">
        <v>138.6</v>
      </c>
      <c r="Z146" s="109">
        <v>126.6</v>
      </c>
      <c r="AA146" s="109">
        <v>112.5</v>
      </c>
      <c r="AB146" s="109">
        <v>93.5</v>
      </c>
      <c r="AC146" s="109">
        <v>125.1</v>
      </c>
      <c r="AD146" s="109">
        <v>122.2</v>
      </c>
      <c r="AE146" s="109">
        <v>116.3</v>
      </c>
      <c r="AF146" s="109">
        <v>118.7</v>
      </c>
      <c r="AG146" s="109">
        <v>121.8</v>
      </c>
      <c r="AH146" s="109">
        <v>108.7</v>
      </c>
      <c r="AI146" s="109">
        <v>100.2</v>
      </c>
      <c r="AJ146" s="109">
        <v>137.5</v>
      </c>
      <c r="AK146" s="109">
        <v>98.8</v>
      </c>
      <c r="AL146" s="109">
        <v>88.2</v>
      </c>
      <c r="AM146" s="109">
        <v>115.9</v>
      </c>
      <c r="AN146" s="109">
        <v>107.9</v>
      </c>
      <c r="AO146" s="109"/>
      <c r="AP146" s="110"/>
    </row>
    <row r="147" spans="1:42">
      <c r="A147" s="95" t="s">
        <v>198</v>
      </c>
      <c r="B147">
        <f t="shared" ref="B147:AP147" si="8">SUM(B135:B146)</f>
        <v>1474.3</v>
      </c>
      <c r="C147">
        <f t="shared" si="8"/>
        <v>1579</v>
      </c>
      <c r="D147">
        <f t="shared" si="8"/>
        <v>1559.0000000000002</v>
      </c>
      <c r="E147">
        <f t="shared" si="8"/>
        <v>1656.6000000000001</v>
      </c>
      <c r="F147">
        <f t="shared" si="8"/>
        <v>1321.72</v>
      </c>
      <c r="G147">
        <f t="shared" si="8"/>
        <v>1412.4</v>
      </c>
      <c r="H147">
        <f t="shared" si="8"/>
        <v>1442.6999999999998</v>
      </c>
      <c r="I147">
        <f t="shared" si="8"/>
        <v>2333.4477639801967</v>
      </c>
      <c r="J147">
        <f t="shared" si="8"/>
        <v>1085.9986428676796</v>
      </c>
      <c r="K147">
        <f t="shared" si="8"/>
        <v>1856.5194853629664</v>
      </c>
      <c r="L147">
        <f t="shared" si="8"/>
        <v>1360.1975686825244</v>
      </c>
      <c r="M147">
        <f t="shared" si="8"/>
        <v>1331.8000000000002</v>
      </c>
      <c r="N147">
        <f t="shared" si="8"/>
        <v>1538.886219214138</v>
      </c>
      <c r="O147">
        <f t="shared" si="8"/>
        <v>1104.2580620474478</v>
      </c>
      <c r="P147">
        <f t="shared" si="8"/>
        <v>1388.0630800268998</v>
      </c>
      <c r="Q147">
        <f t="shared" si="8"/>
        <v>1338.8566469914545</v>
      </c>
      <c r="R147">
        <f t="shared" si="8"/>
        <v>1706.1081245254366</v>
      </c>
      <c r="S147">
        <f t="shared" si="8"/>
        <v>1395.4346242361719</v>
      </c>
      <c r="T147">
        <f t="shared" si="8"/>
        <v>1174.2225654639799</v>
      </c>
      <c r="U147">
        <f t="shared" si="8"/>
        <v>1471.2023073146788</v>
      </c>
      <c r="V147">
        <f t="shared" si="8"/>
        <v>1550.7682855577873</v>
      </c>
      <c r="W147">
        <f t="shared" si="8"/>
        <v>1377.1733890801768</v>
      </c>
      <c r="X147">
        <f t="shared" si="8"/>
        <v>1568.5399680574965</v>
      </c>
      <c r="Y147">
        <f t="shared" si="8"/>
        <v>1666.355551298017</v>
      </c>
      <c r="Z147">
        <f t="shared" si="8"/>
        <v>1510.3332054412276</v>
      </c>
      <c r="AA147">
        <f t="shared" si="8"/>
        <v>1354.781020296215</v>
      </c>
      <c r="AB147">
        <f t="shared" si="8"/>
        <v>1147.8856926456108</v>
      </c>
      <c r="AC147">
        <f t="shared" si="8"/>
        <v>1562.3291293380883</v>
      </c>
      <c r="AD147">
        <f t="shared" si="8"/>
        <v>1491.9681010734305</v>
      </c>
      <c r="AE147">
        <f t="shared" si="8"/>
        <v>1412.9651706809912</v>
      </c>
      <c r="AF147">
        <f t="shared" si="8"/>
        <v>1396.4764316138194</v>
      </c>
      <c r="AG147">
        <f t="shared" si="8"/>
        <v>1412.747058823529</v>
      </c>
      <c r="AH147">
        <f t="shared" si="8"/>
        <v>1306.499701123364</v>
      </c>
      <c r="AI147">
        <f t="shared" si="8"/>
        <v>1223.3179534254518</v>
      </c>
      <c r="AJ147">
        <f t="shared" si="8"/>
        <v>1671.2904563595348</v>
      </c>
      <c r="AK147">
        <f t="shared" si="8"/>
        <v>1238.3732467342918</v>
      </c>
      <c r="AL147">
        <f t="shared" si="8"/>
        <v>1102.83179753834</v>
      </c>
      <c r="AM147">
        <f t="shared" si="8"/>
        <v>1343.8898305084747</v>
      </c>
      <c r="AN147">
        <f t="shared" si="8"/>
        <v>1278.2578201450988</v>
      </c>
      <c r="AO147">
        <f t="shared" si="8"/>
        <v>0</v>
      </c>
      <c r="AP147">
        <f t="shared" si="8"/>
        <v>0</v>
      </c>
    </row>
    <row r="149" spans="1:42" ht="18.75">
      <c r="B149" s="235" t="s">
        <v>250</v>
      </c>
      <c r="C149" s="235"/>
      <c r="D149" s="235"/>
      <c r="E149" s="235"/>
    </row>
    <row r="150" spans="1:42">
      <c r="B150" s="236" t="s">
        <v>39</v>
      </c>
      <c r="C150" s="236"/>
      <c r="D150" s="236"/>
    </row>
    <row r="151" spans="1:42">
      <c r="A151" s="104" cm="1">
        <f t="array" ref="A151:AN151">INDEX(INDICES,MATCH(EDATE(DATE3,-5),'INDICES PRIX'!A:A,0),)</f>
        <v>45901</v>
      </c>
      <c r="B151" s="6">
        <v>126.8</v>
      </c>
      <c r="C151" s="43">
        <v>139.69999999999999</v>
      </c>
      <c r="D151" s="43">
        <v>136.5</v>
      </c>
      <c r="E151" s="43">
        <v>145.1</v>
      </c>
      <c r="F151" s="43">
        <v>99.17</v>
      </c>
      <c r="G151" s="43">
        <v>118.1</v>
      </c>
      <c r="H151" s="43">
        <v>125.3</v>
      </c>
      <c r="I151" s="43">
        <v>107.4</v>
      </c>
      <c r="J151" s="43">
        <v>78.7</v>
      </c>
      <c r="K151" s="43">
        <v>129.37702154404852</v>
      </c>
      <c r="L151" s="43">
        <v>101.9</v>
      </c>
      <c r="M151" s="43">
        <v>112.9</v>
      </c>
      <c r="N151" s="43">
        <v>131.30000000000001</v>
      </c>
      <c r="O151" s="43">
        <v>87.7</v>
      </c>
      <c r="P151" s="43">
        <v>115.8</v>
      </c>
      <c r="Q151" s="43">
        <v>106.2</v>
      </c>
      <c r="R151" s="43">
        <v>143.6</v>
      </c>
      <c r="S151" s="43">
        <v>106.9</v>
      </c>
      <c r="T151" s="43">
        <v>90.7</v>
      </c>
      <c r="U151" s="43">
        <v>109.8</v>
      </c>
      <c r="V151" s="43">
        <v>130.69999999999999</v>
      </c>
      <c r="W151" s="43">
        <v>114.1</v>
      </c>
      <c r="X151" s="43">
        <v>129.1</v>
      </c>
      <c r="Y151" s="43">
        <v>140.4</v>
      </c>
      <c r="Z151" s="43">
        <v>127</v>
      </c>
      <c r="AA151" s="43">
        <v>116.9</v>
      </c>
      <c r="AB151" s="43">
        <v>88</v>
      </c>
      <c r="AC151" s="43">
        <v>121.4</v>
      </c>
      <c r="AD151" s="43">
        <v>118.3</v>
      </c>
      <c r="AE151" s="43">
        <v>124.1</v>
      </c>
      <c r="AF151" s="43">
        <v>122.2</v>
      </c>
      <c r="AG151" s="43">
        <v>128.19999999999999</v>
      </c>
      <c r="AH151" s="43">
        <v>107.6</v>
      </c>
      <c r="AI151" s="43">
        <v>82.4</v>
      </c>
      <c r="AJ151" s="43">
        <v>134.69999999999999</v>
      </c>
      <c r="AK151" s="43">
        <v>92.1</v>
      </c>
      <c r="AL151" s="43">
        <v>80.099999999999994</v>
      </c>
      <c r="AM151" s="43">
        <v>118.5</v>
      </c>
      <c r="AN151" s="43">
        <v>107.1</v>
      </c>
      <c r="AO151" s="43"/>
      <c r="AP151" s="7"/>
    </row>
    <row r="152" spans="1:42">
      <c r="A152" s="106" cm="1">
        <f t="array" ref="A152:AN152">INDEX(INDICES,MATCH(EDATE(A151,1),'INDICES PRIX'!A:A,0),)</f>
        <v>45931</v>
      </c>
      <c r="B152" s="112">
        <v>126.7</v>
      </c>
      <c r="C152">
        <v>140.4</v>
      </c>
      <c r="D152">
        <v>136.80000000000001</v>
      </c>
      <c r="E152">
        <v>143.4</v>
      </c>
      <c r="F152">
        <v>98.62</v>
      </c>
      <c r="G152">
        <v>119.5</v>
      </c>
      <c r="H152">
        <v>125.4</v>
      </c>
      <c r="I152">
        <v>109.5</v>
      </c>
      <c r="J152">
        <v>77.599999999999994</v>
      </c>
      <c r="K152">
        <v>128.47290697858585</v>
      </c>
      <c r="L152">
        <v>100.9</v>
      </c>
      <c r="M152">
        <v>113.8</v>
      </c>
      <c r="N152">
        <v>131.69999999999999</v>
      </c>
      <c r="O152">
        <v>86.4</v>
      </c>
      <c r="P152">
        <v>116</v>
      </c>
      <c r="Q152">
        <v>105.8</v>
      </c>
      <c r="R152">
        <v>143.30000000000001</v>
      </c>
      <c r="S152">
        <v>107</v>
      </c>
      <c r="T152">
        <v>90.4</v>
      </c>
      <c r="U152">
        <v>106.7</v>
      </c>
      <c r="V152">
        <v>132.30000000000001</v>
      </c>
      <c r="W152">
        <v>114.7</v>
      </c>
      <c r="X152">
        <v>127</v>
      </c>
      <c r="Y152">
        <v>139</v>
      </c>
      <c r="Z152">
        <v>126.5</v>
      </c>
      <c r="AA152">
        <v>116.5</v>
      </c>
      <c r="AB152">
        <v>88.3</v>
      </c>
      <c r="AC152">
        <v>121.8</v>
      </c>
      <c r="AD152">
        <v>117.7</v>
      </c>
      <c r="AE152">
        <v>123.9</v>
      </c>
      <c r="AF152">
        <v>121.3</v>
      </c>
      <c r="AG152">
        <v>123.8</v>
      </c>
      <c r="AH152">
        <v>106.5</v>
      </c>
      <c r="AI152">
        <v>82.9</v>
      </c>
      <c r="AJ152">
        <v>134.80000000000001</v>
      </c>
      <c r="AK152">
        <v>91.3</v>
      </c>
      <c r="AL152">
        <v>78.5</v>
      </c>
      <c r="AM152">
        <v>118.2</v>
      </c>
      <c r="AN152">
        <v>107</v>
      </c>
      <c r="AP152" s="107"/>
    </row>
    <row r="153" spans="1:42">
      <c r="A153" s="106" cm="1">
        <f t="array" ref="A153:AN153">INDEX(INDICES,MATCH(EDATE(A152,1),'INDICES PRIX'!A:A,0),)</f>
        <v>45962</v>
      </c>
      <c r="B153" s="112">
        <v>126.2</v>
      </c>
      <c r="C153">
        <v>141.1</v>
      </c>
      <c r="D153">
        <v>137.1</v>
      </c>
      <c r="E153">
        <v>149.6</v>
      </c>
      <c r="F153">
        <v>102.87</v>
      </c>
      <c r="G153">
        <v>118.2</v>
      </c>
      <c r="H153">
        <v>125.4</v>
      </c>
      <c r="I153">
        <v>123.6</v>
      </c>
      <c r="J153">
        <v>75.7</v>
      </c>
      <c r="K153">
        <v>139.23364308124926</v>
      </c>
      <c r="L153">
        <v>100.7</v>
      </c>
      <c r="M153">
        <v>113.8</v>
      </c>
      <c r="N153">
        <v>131.6</v>
      </c>
      <c r="O153">
        <v>85.7</v>
      </c>
      <c r="P153">
        <v>115.9</v>
      </c>
      <c r="Q153">
        <v>105.1</v>
      </c>
      <c r="R153">
        <v>143.9</v>
      </c>
      <c r="S153">
        <v>110</v>
      </c>
      <c r="T153">
        <v>89.8</v>
      </c>
      <c r="U153">
        <v>107</v>
      </c>
      <c r="V153">
        <v>127.8</v>
      </c>
      <c r="W153">
        <v>114.2</v>
      </c>
      <c r="X153">
        <v>128.19999999999999</v>
      </c>
      <c r="Y153">
        <v>139.5</v>
      </c>
      <c r="Z153">
        <v>127.9</v>
      </c>
      <c r="AA153">
        <v>116.7</v>
      </c>
      <c r="AB153">
        <v>86.1</v>
      </c>
      <c r="AC153">
        <v>122.7</v>
      </c>
      <c r="AD153">
        <v>117.5</v>
      </c>
      <c r="AE153">
        <v>125.5</v>
      </c>
      <c r="AF153">
        <v>123.2</v>
      </c>
      <c r="AG153">
        <v>126.9</v>
      </c>
      <c r="AH153">
        <v>106.1</v>
      </c>
      <c r="AI153">
        <v>82.6</v>
      </c>
      <c r="AJ153">
        <v>130.1</v>
      </c>
      <c r="AK153">
        <v>90.3</v>
      </c>
      <c r="AL153">
        <v>79.599999999999994</v>
      </c>
      <c r="AM153">
        <v>117.6</v>
      </c>
      <c r="AN153">
        <v>107.1</v>
      </c>
      <c r="AP153" s="107"/>
    </row>
    <row r="154" spans="1:42">
      <c r="A154" s="106" cm="1">
        <f t="array" ref="A154:AN154">INDEX(INDICES,MATCH(EDATE(A153,1),'INDICES PRIX'!A:A,0),)</f>
        <v>45992</v>
      </c>
      <c r="B154" s="112">
        <v>125.5</v>
      </c>
      <c r="C154">
        <v>141.80000000000001</v>
      </c>
      <c r="D154">
        <v>137.4</v>
      </c>
      <c r="E154">
        <v>141.30000000000001</v>
      </c>
      <c r="F154">
        <v>98.39</v>
      </c>
      <c r="G154">
        <v>119.7</v>
      </c>
      <c r="H154">
        <v>125.4</v>
      </c>
      <c r="I154">
        <v>146.5</v>
      </c>
      <c r="J154">
        <v>74.5</v>
      </c>
      <c r="K154">
        <v>125.53</v>
      </c>
      <c r="L154">
        <v>99.8</v>
      </c>
      <c r="M154">
        <v>113.8</v>
      </c>
      <c r="N154">
        <v>131.1</v>
      </c>
      <c r="O154">
        <v>85.6</v>
      </c>
      <c r="P154">
        <v>116.6</v>
      </c>
      <c r="Q154">
        <v>104.8</v>
      </c>
      <c r="R154">
        <v>143.80000000000001</v>
      </c>
      <c r="S154">
        <v>109.5</v>
      </c>
      <c r="T154">
        <v>89.6</v>
      </c>
      <c r="U154">
        <v>101.7</v>
      </c>
      <c r="V154">
        <v>127.2</v>
      </c>
      <c r="W154">
        <v>112.1</v>
      </c>
      <c r="X154">
        <v>127.5</v>
      </c>
      <c r="Y154">
        <v>138.1</v>
      </c>
      <c r="Z154">
        <v>127.9</v>
      </c>
      <c r="AA154">
        <v>117</v>
      </c>
      <c r="AB154">
        <v>84.7</v>
      </c>
      <c r="AC154">
        <v>120</v>
      </c>
      <c r="AD154">
        <v>117.8</v>
      </c>
      <c r="AE154">
        <v>125.5</v>
      </c>
      <c r="AF154">
        <v>123.3</v>
      </c>
      <c r="AG154">
        <v>127.6</v>
      </c>
      <c r="AH154">
        <v>105.6</v>
      </c>
      <c r="AI154">
        <v>82.8</v>
      </c>
      <c r="AJ154">
        <v>132.4</v>
      </c>
      <c r="AK154">
        <v>91.2</v>
      </c>
      <c r="AL154">
        <v>81.099999999999994</v>
      </c>
      <c r="AM154">
        <v>117.6</v>
      </c>
      <c r="AN154">
        <v>108</v>
      </c>
      <c r="AP154" s="107"/>
    </row>
    <row r="155" spans="1:42">
      <c r="A155" s="106" cm="1">
        <f t="array" ref="A155:AN155">INDEX(INDICES,MATCH(EDATE(A154,1),'INDICES PRIX'!A:A,0),)</f>
        <v>46023</v>
      </c>
      <c r="B155" s="112">
        <v>127.6</v>
      </c>
      <c r="C155">
        <v>141.80000000000001</v>
      </c>
      <c r="D155">
        <v>137.69999999999999</v>
      </c>
      <c r="E155">
        <v>150.1</v>
      </c>
      <c r="F155">
        <v>100.91</v>
      </c>
      <c r="G155">
        <v>118</v>
      </c>
      <c r="H155">
        <v>125.7</v>
      </c>
      <c r="I155">
        <v>154.19999999999999</v>
      </c>
      <c r="J155">
        <v>71.400000000000006</v>
      </c>
      <c r="K155">
        <v>133.73804474216251</v>
      </c>
      <c r="L155">
        <v>100.1</v>
      </c>
      <c r="M155">
        <v>113.9</v>
      </c>
      <c r="N155">
        <v>133.80000000000001</v>
      </c>
      <c r="O155">
        <v>85.5</v>
      </c>
      <c r="P155">
        <v>116.4</v>
      </c>
      <c r="Q155">
        <v>104.2</v>
      </c>
      <c r="R155">
        <v>150.4</v>
      </c>
      <c r="S155">
        <v>112.4</v>
      </c>
      <c r="T155">
        <v>89.6</v>
      </c>
      <c r="U155">
        <v>96.9</v>
      </c>
      <c r="V155">
        <v>126.8</v>
      </c>
      <c r="W155">
        <v>115.1</v>
      </c>
      <c r="X155">
        <v>127.5</v>
      </c>
      <c r="Y155">
        <v>138.1</v>
      </c>
      <c r="Z155">
        <v>127.9</v>
      </c>
      <c r="AA155">
        <v>118.5</v>
      </c>
      <c r="AB155">
        <v>83.8</v>
      </c>
      <c r="AC155">
        <v>122.9</v>
      </c>
      <c r="AD155">
        <v>118.9</v>
      </c>
      <c r="AE155">
        <v>125.5</v>
      </c>
      <c r="AF155">
        <v>128</v>
      </c>
      <c r="AG155">
        <v>134.9</v>
      </c>
      <c r="AH155">
        <v>107.3</v>
      </c>
      <c r="AI155">
        <v>82.7</v>
      </c>
      <c r="AJ155">
        <v>131.19999999999999</v>
      </c>
      <c r="AK155">
        <v>93</v>
      </c>
      <c r="AL155">
        <v>82.7</v>
      </c>
      <c r="AM155">
        <v>118.5</v>
      </c>
      <c r="AN155">
        <v>110.3</v>
      </c>
      <c r="AP155" s="107"/>
    </row>
    <row r="156" spans="1:42">
      <c r="A156" s="108" cm="1">
        <f t="array" ref="A156:AN156">INDEX(INDICES,MATCH(EDATE(A155,1),'INDICES PRIX'!A:A,0),)</f>
        <v>46054</v>
      </c>
      <c r="B156" s="113">
        <v>125.6</v>
      </c>
      <c r="C156" s="109">
        <v>141.80000000000001</v>
      </c>
      <c r="D156" s="109">
        <v>137.69999999999999</v>
      </c>
      <c r="E156" s="109">
        <v>157.19999999999999</v>
      </c>
      <c r="F156" s="109">
        <v>103.42</v>
      </c>
      <c r="G156" s="109">
        <v>119.2</v>
      </c>
      <c r="H156" s="109">
        <v>125.7</v>
      </c>
      <c r="I156" s="109">
        <v>147.6</v>
      </c>
      <c r="J156" s="109">
        <v>80.7</v>
      </c>
      <c r="K156" s="109">
        <v>139.37546497387086</v>
      </c>
      <c r="L156" s="109">
        <v>101.1</v>
      </c>
      <c r="M156" s="109">
        <v>113.8</v>
      </c>
      <c r="N156" s="109">
        <v>133.19999999999999</v>
      </c>
      <c r="O156" s="109">
        <v>86.1</v>
      </c>
      <c r="P156" s="109">
        <v>118.3</v>
      </c>
      <c r="Q156" s="109">
        <v>103.7</v>
      </c>
      <c r="R156" s="109">
        <v>149.19999999999999</v>
      </c>
      <c r="S156" s="109">
        <v>112.3</v>
      </c>
      <c r="T156" s="109">
        <v>89.6</v>
      </c>
      <c r="U156" s="109">
        <v>100.5</v>
      </c>
      <c r="V156" s="109">
        <v>128.5</v>
      </c>
      <c r="W156" s="109">
        <v>114.1</v>
      </c>
      <c r="X156" s="109">
        <v>129.19999999999999</v>
      </c>
      <c r="Y156" s="109">
        <v>138.1</v>
      </c>
      <c r="Z156" s="109">
        <v>127.9</v>
      </c>
      <c r="AA156" s="109">
        <v>118.5</v>
      </c>
      <c r="AB156" s="109">
        <v>84.4</v>
      </c>
      <c r="AC156" s="109">
        <v>117.7</v>
      </c>
      <c r="AD156" s="109">
        <v>119.9</v>
      </c>
      <c r="AE156" s="109">
        <v>125.5</v>
      </c>
      <c r="AF156" s="109">
        <v>128.9</v>
      </c>
      <c r="AG156" s="109">
        <v>136.80000000000001</v>
      </c>
      <c r="AH156" s="109">
        <v>104.4</v>
      </c>
      <c r="AI156" s="109">
        <v>82.6</v>
      </c>
      <c r="AJ156" s="109">
        <v>130.80000000000001</v>
      </c>
      <c r="AK156" s="109">
        <v>94.6</v>
      </c>
      <c r="AL156" s="109">
        <v>84.2</v>
      </c>
      <c r="AM156" s="109">
        <v>118.5</v>
      </c>
      <c r="AN156" s="109">
        <v>111.4</v>
      </c>
      <c r="AO156" s="109"/>
      <c r="AP156" s="110"/>
    </row>
    <row r="157" spans="1:42">
      <c r="A157" s="95" t="s">
        <v>201</v>
      </c>
      <c r="B157">
        <f>SUM(B154:B156)</f>
        <v>378.7</v>
      </c>
      <c r="C157">
        <f>SUM(C154:C156)</f>
        <v>425.40000000000003</v>
      </c>
      <c r="D157">
        <f t="shared" ref="D157:X157" si="9">SUM(D154:D156)</f>
        <v>412.8</v>
      </c>
      <c r="E157">
        <f t="shared" si="9"/>
        <v>448.59999999999997</v>
      </c>
      <c r="F157">
        <f t="shared" si="9"/>
        <v>302.72000000000003</v>
      </c>
      <c r="G157">
        <f t="shared" si="9"/>
        <v>356.9</v>
      </c>
      <c r="H157">
        <f t="shared" si="9"/>
        <v>376.8</v>
      </c>
      <c r="I157">
        <f t="shared" si="9"/>
        <v>448.29999999999995</v>
      </c>
      <c r="J157">
        <f t="shared" si="9"/>
        <v>226.60000000000002</v>
      </c>
      <c r="K157">
        <f t="shared" si="9"/>
        <v>398.64350971603335</v>
      </c>
      <c r="L157">
        <f t="shared" si="9"/>
        <v>301</v>
      </c>
      <c r="M157">
        <f t="shared" si="9"/>
        <v>341.5</v>
      </c>
      <c r="N157">
        <f t="shared" si="9"/>
        <v>398.09999999999997</v>
      </c>
      <c r="O157">
        <f t="shared" si="9"/>
        <v>257.2</v>
      </c>
      <c r="P157">
        <f t="shared" si="9"/>
        <v>351.3</v>
      </c>
      <c r="Q157">
        <f t="shared" si="9"/>
        <v>312.7</v>
      </c>
      <c r="R157">
        <f t="shared" si="9"/>
        <v>443.40000000000003</v>
      </c>
      <c r="S157">
        <f t="shared" si="9"/>
        <v>334.2</v>
      </c>
      <c r="T157">
        <f t="shared" si="9"/>
        <v>268.79999999999995</v>
      </c>
      <c r="U157">
        <f t="shared" si="9"/>
        <v>299.10000000000002</v>
      </c>
      <c r="V157">
        <f t="shared" si="9"/>
        <v>382.5</v>
      </c>
      <c r="W157">
        <f t="shared" si="9"/>
        <v>341.29999999999995</v>
      </c>
      <c r="X157">
        <f t="shared" si="9"/>
        <v>384.2</v>
      </c>
      <c r="Y157">
        <f t="shared" ref="Y157" si="10">SUM(Y154:Y156)</f>
        <v>414.29999999999995</v>
      </c>
      <c r="Z157">
        <f t="shared" ref="Z157" si="11">SUM(Z154:Z156)</f>
        <v>383.70000000000005</v>
      </c>
      <c r="AA157">
        <f t="shared" ref="AA157" si="12">SUM(AA154:AA156)</f>
        <v>354</v>
      </c>
      <c r="AB157">
        <f t="shared" ref="AB157" si="13">SUM(AB154:AB156)</f>
        <v>252.9</v>
      </c>
      <c r="AC157">
        <f t="shared" ref="AC157" si="14">SUM(AC154:AC156)</f>
        <v>360.6</v>
      </c>
      <c r="AD157">
        <f t="shared" ref="AD157" si="15">SUM(AD154:AD156)</f>
        <v>356.6</v>
      </c>
      <c r="AE157">
        <f t="shared" ref="AE157" si="16">SUM(AE154:AE156)</f>
        <v>376.5</v>
      </c>
      <c r="AF157">
        <f t="shared" ref="AF157" si="17">SUM(AF154:AF156)</f>
        <v>380.20000000000005</v>
      </c>
      <c r="AG157">
        <f t="shared" ref="AG157" si="18">SUM(AG154:AG156)</f>
        <v>399.3</v>
      </c>
      <c r="AH157">
        <f t="shared" ref="AH157" si="19">SUM(AH154:AH156)</f>
        <v>317.29999999999995</v>
      </c>
      <c r="AI157">
        <f t="shared" ref="AI157" si="20">SUM(AI154:AI156)</f>
        <v>248.1</v>
      </c>
      <c r="AJ157">
        <f t="shared" ref="AJ157" si="21">SUM(AJ154:AJ156)</f>
        <v>394.40000000000003</v>
      </c>
      <c r="AK157">
        <f t="shared" ref="AK157" si="22">SUM(AK154:AK156)</f>
        <v>278.79999999999995</v>
      </c>
      <c r="AL157">
        <f t="shared" ref="AL157" si="23">SUM(AL154:AL156)</f>
        <v>248</v>
      </c>
      <c r="AM157">
        <f t="shared" ref="AM157" si="24">SUM(AM154:AM156)</f>
        <v>354.6</v>
      </c>
      <c r="AN157">
        <f t="shared" ref="AN157" si="25">SUM(AN154:AN156)</f>
        <v>329.70000000000005</v>
      </c>
      <c r="AO157">
        <f t="shared" ref="AO157" si="26">SUM(AO154:AO156)</f>
        <v>0</v>
      </c>
      <c r="AP157">
        <f t="shared" ref="AP157" si="27">SUM(AP154:AP156)</f>
        <v>0</v>
      </c>
    </row>
    <row r="158" spans="1:42">
      <c r="A158" s="95" t="s">
        <v>202</v>
      </c>
      <c r="B158">
        <f>SUM(B151:B153)</f>
        <v>379.7</v>
      </c>
      <c r="C158">
        <f>SUM(C151:C153)</f>
        <v>421.20000000000005</v>
      </c>
      <c r="D158">
        <f t="shared" ref="D158:X158" si="28">SUM(D151:D153)</f>
        <v>410.4</v>
      </c>
      <c r="E158">
        <f t="shared" si="28"/>
        <v>438.1</v>
      </c>
      <c r="F158">
        <f t="shared" si="28"/>
        <v>300.66000000000003</v>
      </c>
      <c r="G158">
        <f t="shared" si="28"/>
        <v>355.8</v>
      </c>
      <c r="H158">
        <f t="shared" si="28"/>
        <v>376.1</v>
      </c>
      <c r="I158">
        <f t="shared" si="28"/>
        <v>340.5</v>
      </c>
      <c r="J158">
        <f t="shared" si="28"/>
        <v>232</v>
      </c>
      <c r="K158">
        <f t="shared" si="28"/>
        <v>397.08357160388368</v>
      </c>
      <c r="L158">
        <f t="shared" si="28"/>
        <v>303.5</v>
      </c>
      <c r="M158">
        <f t="shared" si="28"/>
        <v>340.5</v>
      </c>
      <c r="N158">
        <f t="shared" si="28"/>
        <v>394.6</v>
      </c>
      <c r="O158">
        <f t="shared" si="28"/>
        <v>259.8</v>
      </c>
      <c r="P158">
        <f t="shared" si="28"/>
        <v>347.70000000000005</v>
      </c>
      <c r="Q158">
        <f t="shared" si="28"/>
        <v>317.10000000000002</v>
      </c>
      <c r="R158">
        <f t="shared" si="28"/>
        <v>430.79999999999995</v>
      </c>
      <c r="S158">
        <f t="shared" si="28"/>
        <v>323.89999999999998</v>
      </c>
      <c r="T158">
        <f t="shared" si="28"/>
        <v>270.90000000000003</v>
      </c>
      <c r="U158">
        <f t="shared" si="28"/>
        <v>323.5</v>
      </c>
      <c r="V158">
        <f t="shared" si="28"/>
        <v>390.8</v>
      </c>
      <c r="W158">
        <f t="shared" si="28"/>
        <v>343</v>
      </c>
      <c r="X158">
        <f t="shared" si="28"/>
        <v>384.3</v>
      </c>
      <c r="Y158">
        <f t="shared" ref="Y158:AP158" si="29">SUM(Y151:Y153)</f>
        <v>418.9</v>
      </c>
      <c r="Z158">
        <f t="shared" si="29"/>
        <v>381.4</v>
      </c>
      <c r="AA158">
        <f t="shared" si="29"/>
        <v>350.1</v>
      </c>
      <c r="AB158">
        <f t="shared" si="29"/>
        <v>262.39999999999998</v>
      </c>
      <c r="AC158">
        <f t="shared" si="29"/>
        <v>365.9</v>
      </c>
      <c r="AD158">
        <f t="shared" si="29"/>
        <v>353.5</v>
      </c>
      <c r="AE158">
        <f t="shared" si="29"/>
        <v>373.5</v>
      </c>
      <c r="AF158">
        <f t="shared" si="29"/>
        <v>366.7</v>
      </c>
      <c r="AG158">
        <f t="shared" si="29"/>
        <v>378.9</v>
      </c>
      <c r="AH158">
        <f t="shared" si="29"/>
        <v>320.2</v>
      </c>
      <c r="AI158">
        <f t="shared" si="29"/>
        <v>247.9</v>
      </c>
      <c r="AJ158">
        <f t="shared" si="29"/>
        <v>399.6</v>
      </c>
      <c r="AK158">
        <f t="shared" si="29"/>
        <v>273.7</v>
      </c>
      <c r="AL158">
        <f t="shared" si="29"/>
        <v>238.2</v>
      </c>
      <c r="AM158">
        <f t="shared" si="29"/>
        <v>354.29999999999995</v>
      </c>
      <c r="AN158">
        <f t="shared" si="29"/>
        <v>321.2</v>
      </c>
      <c r="AO158">
        <f t="shared" si="29"/>
        <v>0</v>
      </c>
      <c r="AP158">
        <f t="shared" si="29"/>
        <v>0</v>
      </c>
    </row>
    <row r="160" spans="1:42">
      <c r="B160" s="236" t="s">
        <v>40</v>
      </c>
      <c r="C160" s="236"/>
      <c r="D160" s="236"/>
    </row>
    <row r="161" spans="1:42">
      <c r="A161" s="104" cm="1">
        <f t="array" ref="A161:AN161">INDEX(INDICES,MATCH(EDATE(DATE3,-11),'INDICES PRIX'!A:A,0),)</f>
        <v>45717</v>
      </c>
      <c r="B161" s="43">
        <v>124.5</v>
      </c>
      <c r="C161" s="43">
        <v>137.6</v>
      </c>
      <c r="D161" s="43">
        <v>135.19999999999999</v>
      </c>
      <c r="E161" s="43">
        <v>145.69999999999999</v>
      </c>
      <c r="F161" s="43">
        <v>101.29</v>
      </c>
      <c r="G161" s="43">
        <v>118.5</v>
      </c>
      <c r="H161" s="43">
        <v>123.5</v>
      </c>
      <c r="I161" s="43">
        <v>155.5</v>
      </c>
      <c r="J161" s="43">
        <v>114.6</v>
      </c>
      <c r="K161" s="43">
        <v>133.53</v>
      </c>
      <c r="L161" s="43">
        <v>101.2</v>
      </c>
      <c r="M161" s="43">
        <v>111</v>
      </c>
      <c r="N161" s="43">
        <v>130.1</v>
      </c>
      <c r="O161" s="43">
        <v>88.3</v>
      </c>
      <c r="P161" s="43">
        <v>116.3</v>
      </c>
      <c r="Q161" s="43">
        <v>106.9</v>
      </c>
      <c r="R161" s="43">
        <v>143.9</v>
      </c>
      <c r="S161" s="43">
        <v>113.5</v>
      </c>
      <c r="T161" s="43">
        <v>92.3</v>
      </c>
      <c r="U161" s="43">
        <v>128.9</v>
      </c>
      <c r="V161" s="43">
        <v>130.9</v>
      </c>
      <c r="W161" s="43">
        <v>113.9</v>
      </c>
      <c r="X161" s="43">
        <v>130.30000000000001</v>
      </c>
      <c r="Y161" s="43">
        <v>138.9</v>
      </c>
      <c r="Z161" s="43">
        <v>128.9</v>
      </c>
      <c r="AA161" s="43">
        <v>115</v>
      </c>
      <c r="AB161" s="43">
        <v>95</v>
      </c>
      <c r="AC161" s="43">
        <v>121.1</v>
      </c>
      <c r="AD161" s="43">
        <v>118.7</v>
      </c>
      <c r="AE161" s="43">
        <v>127.8</v>
      </c>
      <c r="AF161" s="43">
        <v>116.6</v>
      </c>
      <c r="AG161" s="43">
        <v>117.1</v>
      </c>
      <c r="AH161" s="43">
        <v>108.5</v>
      </c>
      <c r="AI161" s="43">
        <v>85.7</v>
      </c>
      <c r="AJ161" s="43">
        <v>136.1</v>
      </c>
      <c r="AK161" s="43">
        <v>94</v>
      </c>
      <c r="AL161" s="43">
        <v>82.2</v>
      </c>
      <c r="AM161" s="43">
        <v>118.4</v>
      </c>
      <c r="AN161" s="43">
        <v>110.9</v>
      </c>
      <c r="AO161" s="43"/>
      <c r="AP161" s="7"/>
    </row>
    <row r="162" spans="1:42">
      <c r="A162" s="106" cm="1">
        <f t="array" ref="A162:AN162">INDEX(INDICES,MATCH(EDATE(A161,1),'INDICES PRIX'!A:A,0),)</f>
        <v>45748</v>
      </c>
      <c r="B162">
        <v>126.2</v>
      </c>
      <c r="C162">
        <v>138</v>
      </c>
      <c r="D162">
        <v>135.4</v>
      </c>
      <c r="E162">
        <v>141</v>
      </c>
      <c r="F162">
        <v>97.24</v>
      </c>
      <c r="G162">
        <v>119.4</v>
      </c>
      <c r="H162">
        <v>125.5</v>
      </c>
      <c r="I162">
        <v>135.1</v>
      </c>
      <c r="J162">
        <v>93</v>
      </c>
      <c r="K162">
        <v>124.17</v>
      </c>
      <c r="L162">
        <v>100.9</v>
      </c>
      <c r="M162">
        <v>110.9</v>
      </c>
      <c r="N162">
        <v>131.5</v>
      </c>
      <c r="O162">
        <v>89.1</v>
      </c>
      <c r="P162">
        <v>116.9</v>
      </c>
      <c r="Q162">
        <v>107.4</v>
      </c>
      <c r="R162">
        <v>145.80000000000001</v>
      </c>
      <c r="S162">
        <v>114.6</v>
      </c>
      <c r="T162">
        <v>92.3</v>
      </c>
      <c r="U162">
        <v>124.6</v>
      </c>
      <c r="V162">
        <v>130.5</v>
      </c>
      <c r="W162">
        <v>114</v>
      </c>
      <c r="X162">
        <v>128.5</v>
      </c>
      <c r="Y162">
        <v>139.30000000000001</v>
      </c>
      <c r="Z162">
        <v>129.1</v>
      </c>
      <c r="AA162">
        <v>116.2</v>
      </c>
      <c r="AB162">
        <v>93.8</v>
      </c>
      <c r="AC162">
        <v>120.7</v>
      </c>
      <c r="AD162">
        <v>118.5</v>
      </c>
      <c r="AE162">
        <v>129.1</v>
      </c>
      <c r="AF162">
        <v>116.9</v>
      </c>
      <c r="AG162">
        <v>117</v>
      </c>
      <c r="AH162">
        <v>106.3</v>
      </c>
      <c r="AI162">
        <v>84.7</v>
      </c>
      <c r="AJ162">
        <v>135.1</v>
      </c>
      <c r="AK162">
        <v>95.1</v>
      </c>
      <c r="AL162">
        <v>82.2</v>
      </c>
      <c r="AM162">
        <v>118.1</v>
      </c>
      <c r="AN162">
        <v>111</v>
      </c>
      <c r="AP162" s="107"/>
    </row>
    <row r="163" spans="1:42">
      <c r="A163" s="106" cm="1">
        <f t="array" ref="A163:AN163">INDEX(INDICES,MATCH(EDATE(A162,1),'INDICES PRIX'!A:A,0),)</f>
        <v>45778</v>
      </c>
      <c r="B163">
        <v>126.4</v>
      </c>
      <c r="C163">
        <v>138.4</v>
      </c>
      <c r="D163">
        <v>135.6</v>
      </c>
      <c r="E163">
        <v>140</v>
      </c>
      <c r="F163">
        <v>95.45</v>
      </c>
      <c r="G163">
        <v>118.1</v>
      </c>
      <c r="H163">
        <v>125.5</v>
      </c>
      <c r="I163">
        <v>113.3</v>
      </c>
      <c r="J163">
        <v>84.1</v>
      </c>
      <c r="K163">
        <v>120.39</v>
      </c>
      <c r="L163">
        <v>101.6</v>
      </c>
      <c r="M163">
        <v>113.3</v>
      </c>
      <c r="N163">
        <v>131.69999999999999</v>
      </c>
      <c r="O163">
        <v>89.6</v>
      </c>
      <c r="P163">
        <v>116.2</v>
      </c>
      <c r="Q163">
        <v>108.2</v>
      </c>
      <c r="R163">
        <v>145.6</v>
      </c>
      <c r="S163">
        <v>111.1</v>
      </c>
      <c r="T163">
        <v>93.2</v>
      </c>
      <c r="U163">
        <v>116.6</v>
      </c>
      <c r="V163">
        <v>129.80000000000001</v>
      </c>
      <c r="W163">
        <v>114.7</v>
      </c>
      <c r="X163">
        <v>130.6</v>
      </c>
      <c r="Y163">
        <v>140</v>
      </c>
      <c r="Z163">
        <v>130.30000000000001</v>
      </c>
      <c r="AA163">
        <v>115.9</v>
      </c>
      <c r="AB163">
        <v>93.2</v>
      </c>
      <c r="AC163">
        <v>121</v>
      </c>
      <c r="AD163">
        <v>119</v>
      </c>
      <c r="AE163">
        <v>128.6</v>
      </c>
      <c r="AF163">
        <v>119.7</v>
      </c>
      <c r="AG163">
        <v>121.8</v>
      </c>
      <c r="AH163">
        <v>107.4</v>
      </c>
      <c r="AI163">
        <v>84.3</v>
      </c>
      <c r="AJ163">
        <v>135.9</v>
      </c>
      <c r="AK163">
        <v>94.4</v>
      </c>
      <c r="AL163">
        <v>83.1</v>
      </c>
      <c r="AM163">
        <v>118.7</v>
      </c>
      <c r="AN163">
        <v>109.9</v>
      </c>
      <c r="AP163" s="107"/>
    </row>
    <row r="164" spans="1:42">
      <c r="A164" s="106" cm="1">
        <f t="array" ref="A164:AN164">INDEX(INDICES,MATCH(EDATE(A163,1),'INDICES PRIX'!A:A,0),)</f>
        <v>45809</v>
      </c>
      <c r="B164">
        <v>126</v>
      </c>
      <c r="C164">
        <v>138.69999999999999</v>
      </c>
      <c r="D164">
        <v>135.80000000000001</v>
      </c>
      <c r="E164">
        <v>143.9</v>
      </c>
      <c r="F164">
        <v>98.01</v>
      </c>
      <c r="G164">
        <v>119.2</v>
      </c>
      <c r="H164">
        <v>125.5</v>
      </c>
      <c r="I164">
        <v>96.2</v>
      </c>
      <c r="J164">
        <v>86.2</v>
      </c>
      <c r="K164">
        <v>127.85</v>
      </c>
      <c r="L164">
        <v>103.6</v>
      </c>
      <c r="M164">
        <v>113.4</v>
      </c>
      <c r="N164">
        <v>130.69999999999999</v>
      </c>
      <c r="O164">
        <v>89.4</v>
      </c>
      <c r="P164">
        <v>115.2</v>
      </c>
      <c r="Q164">
        <v>107.7</v>
      </c>
      <c r="R164">
        <v>145.4</v>
      </c>
      <c r="S164">
        <v>110.9</v>
      </c>
      <c r="T164">
        <v>93.4</v>
      </c>
      <c r="U164">
        <v>115.4</v>
      </c>
      <c r="V164">
        <v>130.30000000000001</v>
      </c>
      <c r="W164">
        <v>114.5</v>
      </c>
      <c r="X164">
        <v>129.80000000000001</v>
      </c>
      <c r="Y164">
        <v>140.19999999999999</v>
      </c>
      <c r="Z164">
        <v>129.69999999999999</v>
      </c>
      <c r="AA164">
        <v>116.4</v>
      </c>
      <c r="AB164">
        <v>93</v>
      </c>
      <c r="AC164">
        <v>120.7</v>
      </c>
      <c r="AD164">
        <v>119.1</v>
      </c>
      <c r="AE164">
        <v>126</v>
      </c>
      <c r="AF164">
        <v>119.2</v>
      </c>
      <c r="AG164">
        <v>122.3</v>
      </c>
      <c r="AH164">
        <v>108.9</v>
      </c>
      <c r="AI164">
        <v>83.5</v>
      </c>
      <c r="AJ164">
        <v>136.30000000000001</v>
      </c>
      <c r="AK164">
        <v>94.7</v>
      </c>
      <c r="AL164">
        <v>82.5</v>
      </c>
      <c r="AM164">
        <v>118.3</v>
      </c>
      <c r="AN164">
        <v>108.9</v>
      </c>
      <c r="AP164" s="107"/>
    </row>
    <row r="165" spans="1:42">
      <c r="A165" s="106" cm="1">
        <f t="array" ref="A165:AN165">INDEX(INDICES,MATCH(EDATE(A164,1),'INDICES PRIX'!A:A,0),)</f>
        <v>45839</v>
      </c>
      <c r="B165">
        <v>125.5</v>
      </c>
      <c r="C165">
        <v>139</v>
      </c>
      <c r="D165">
        <v>136</v>
      </c>
      <c r="E165">
        <v>147.30000000000001</v>
      </c>
      <c r="F165">
        <v>100.68</v>
      </c>
      <c r="G165">
        <v>121.2</v>
      </c>
      <c r="H165">
        <v>125.3</v>
      </c>
      <c r="I165">
        <v>99.2</v>
      </c>
      <c r="J165">
        <v>86.6</v>
      </c>
      <c r="K165">
        <v>132.49710318172353</v>
      </c>
      <c r="L165">
        <v>101</v>
      </c>
      <c r="M165">
        <v>112.9</v>
      </c>
      <c r="N165">
        <v>131.30000000000001</v>
      </c>
      <c r="O165">
        <v>88.6</v>
      </c>
      <c r="P165">
        <v>115.2</v>
      </c>
      <c r="Q165">
        <v>107</v>
      </c>
      <c r="R165">
        <v>144</v>
      </c>
      <c r="S165">
        <v>108.8</v>
      </c>
      <c r="T165">
        <v>92.7</v>
      </c>
      <c r="U165">
        <v>118.8</v>
      </c>
      <c r="V165">
        <v>132.19999999999999</v>
      </c>
      <c r="W165">
        <v>113.9</v>
      </c>
      <c r="X165">
        <v>129.30000000000001</v>
      </c>
      <c r="Y165">
        <v>138.9</v>
      </c>
      <c r="Z165">
        <v>129.9</v>
      </c>
      <c r="AA165">
        <v>116.5</v>
      </c>
      <c r="AB165">
        <v>90.4</v>
      </c>
      <c r="AC165">
        <v>121</v>
      </c>
      <c r="AD165">
        <v>119.7</v>
      </c>
      <c r="AE165">
        <v>125.5</v>
      </c>
      <c r="AF165">
        <v>121.5</v>
      </c>
      <c r="AG165">
        <v>124.8</v>
      </c>
      <c r="AH165">
        <v>107.6</v>
      </c>
      <c r="AI165">
        <v>82.4</v>
      </c>
      <c r="AJ165">
        <v>137.80000000000001</v>
      </c>
      <c r="AK165">
        <v>94.6</v>
      </c>
      <c r="AL165">
        <v>82.1</v>
      </c>
      <c r="AM165">
        <v>118.1</v>
      </c>
      <c r="AN165">
        <v>108.3</v>
      </c>
      <c r="AP165" s="107"/>
    </row>
    <row r="166" spans="1:42">
      <c r="A166" s="106" cm="1">
        <f t="array" ref="A166:AN166">INDEX(INDICES,MATCH(EDATE(A165,1),'INDICES PRIX'!A:A,0),)</f>
        <v>45870</v>
      </c>
      <c r="B166">
        <v>128.4</v>
      </c>
      <c r="C166">
        <v>139.30000000000001</v>
      </c>
      <c r="D166">
        <v>136.30000000000001</v>
      </c>
      <c r="E166">
        <v>143.30000000000001</v>
      </c>
      <c r="F166">
        <v>98.92</v>
      </c>
      <c r="G166">
        <v>121</v>
      </c>
      <c r="H166">
        <v>125.3</v>
      </c>
      <c r="I166">
        <v>106.4</v>
      </c>
      <c r="J166">
        <v>80.7</v>
      </c>
      <c r="K166">
        <v>128.22471866649806</v>
      </c>
      <c r="L166">
        <v>101.8</v>
      </c>
      <c r="M166">
        <v>112.9</v>
      </c>
      <c r="N166">
        <v>132.69999999999999</v>
      </c>
      <c r="O166">
        <v>87.8</v>
      </c>
      <c r="P166">
        <v>116.8</v>
      </c>
      <c r="Q166">
        <v>107.3</v>
      </c>
      <c r="R166">
        <v>143</v>
      </c>
      <c r="S166">
        <v>109.6</v>
      </c>
      <c r="T166">
        <v>91.4</v>
      </c>
      <c r="U166">
        <v>114</v>
      </c>
      <c r="V166">
        <v>133.6</v>
      </c>
      <c r="W166">
        <v>114.9</v>
      </c>
      <c r="X166">
        <v>129.4</v>
      </c>
      <c r="Y166">
        <v>140.30000000000001</v>
      </c>
      <c r="Z166">
        <v>129.30000000000001</v>
      </c>
      <c r="AA166">
        <v>116.9</v>
      </c>
      <c r="AB166">
        <v>88.7</v>
      </c>
      <c r="AC166">
        <v>121.3</v>
      </c>
      <c r="AD166">
        <v>119.9</v>
      </c>
      <c r="AE166">
        <v>125.7</v>
      </c>
      <c r="AF166">
        <v>120.4</v>
      </c>
      <c r="AG166">
        <v>124.9</v>
      </c>
      <c r="AH166">
        <v>106.3</v>
      </c>
      <c r="AI166">
        <v>82.4</v>
      </c>
      <c r="AJ166">
        <v>137.9</v>
      </c>
      <c r="AK166">
        <v>92.1</v>
      </c>
      <c r="AL166">
        <v>79</v>
      </c>
      <c r="AM166">
        <v>118.8</v>
      </c>
      <c r="AN166">
        <v>108.2</v>
      </c>
      <c r="AP166" s="107"/>
    </row>
    <row r="167" spans="1:42">
      <c r="A167" s="106" cm="1">
        <f t="array" ref="A167:AN167">INDEX(INDICES,MATCH(EDATE(A166,1),'INDICES PRIX'!A:A,0),)</f>
        <v>45901</v>
      </c>
      <c r="B167">
        <v>126.8</v>
      </c>
      <c r="C167">
        <v>139.69999999999999</v>
      </c>
      <c r="D167">
        <v>136.5</v>
      </c>
      <c r="E167">
        <v>145.1</v>
      </c>
      <c r="F167">
        <v>99.17</v>
      </c>
      <c r="G167">
        <v>118.1</v>
      </c>
      <c r="H167">
        <v>125.3</v>
      </c>
      <c r="I167">
        <v>107.4</v>
      </c>
      <c r="J167">
        <v>78.7</v>
      </c>
      <c r="K167">
        <v>129.37702154404852</v>
      </c>
      <c r="L167">
        <v>101.9</v>
      </c>
      <c r="M167">
        <v>112.9</v>
      </c>
      <c r="N167">
        <v>131.30000000000001</v>
      </c>
      <c r="O167">
        <v>87.7</v>
      </c>
      <c r="P167">
        <v>115.8</v>
      </c>
      <c r="Q167">
        <v>106.2</v>
      </c>
      <c r="R167">
        <v>143.6</v>
      </c>
      <c r="S167">
        <v>106.9</v>
      </c>
      <c r="T167">
        <v>90.7</v>
      </c>
      <c r="U167">
        <v>109.8</v>
      </c>
      <c r="V167">
        <v>130.69999999999999</v>
      </c>
      <c r="W167">
        <v>114.1</v>
      </c>
      <c r="X167">
        <v>129.1</v>
      </c>
      <c r="Y167">
        <v>140.4</v>
      </c>
      <c r="Z167">
        <v>127</v>
      </c>
      <c r="AA167">
        <v>116.9</v>
      </c>
      <c r="AB167">
        <v>88</v>
      </c>
      <c r="AC167">
        <v>121.4</v>
      </c>
      <c r="AD167">
        <v>118.3</v>
      </c>
      <c r="AE167">
        <v>124.1</v>
      </c>
      <c r="AF167">
        <v>122.2</v>
      </c>
      <c r="AG167">
        <v>128.19999999999999</v>
      </c>
      <c r="AH167">
        <v>107.6</v>
      </c>
      <c r="AI167">
        <v>82.4</v>
      </c>
      <c r="AJ167">
        <v>134.69999999999999</v>
      </c>
      <c r="AK167">
        <v>92.1</v>
      </c>
      <c r="AL167">
        <v>80.099999999999994</v>
      </c>
      <c r="AM167">
        <v>118.5</v>
      </c>
      <c r="AN167">
        <v>107.1</v>
      </c>
      <c r="AP167" s="107"/>
    </row>
    <row r="168" spans="1:42">
      <c r="A168" s="106" cm="1">
        <f t="array" ref="A168:AN168">INDEX(INDICES,MATCH(EDATE(A167,1),'INDICES PRIX'!A:A,0),)</f>
        <v>45931</v>
      </c>
      <c r="B168">
        <v>126.7</v>
      </c>
      <c r="C168">
        <v>140.4</v>
      </c>
      <c r="D168">
        <v>136.80000000000001</v>
      </c>
      <c r="E168">
        <v>143.4</v>
      </c>
      <c r="F168">
        <v>98.62</v>
      </c>
      <c r="G168">
        <v>119.5</v>
      </c>
      <c r="H168">
        <v>125.4</v>
      </c>
      <c r="I168">
        <v>109.5</v>
      </c>
      <c r="J168">
        <v>77.599999999999994</v>
      </c>
      <c r="K168">
        <v>128.47290697858585</v>
      </c>
      <c r="L168">
        <v>100.9</v>
      </c>
      <c r="M168">
        <v>113.8</v>
      </c>
      <c r="N168">
        <v>131.69999999999999</v>
      </c>
      <c r="O168">
        <v>86.4</v>
      </c>
      <c r="P168">
        <v>116</v>
      </c>
      <c r="Q168">
        <v>105.8</v>
      </c>
      <c r="R168">
        <v>143.30000000000001</v>
      </c>
      <c r="S168">
        <v>107</v>
      </c>
      <c r="T168">
        <v>90.4</v>
      </c>
      <c r="U168">
        <v>106.7</v>
      </c>
      <c r="V168">
        <v>132.30000000000001</v>
      </c>
      <c r="W168">
        <v>114.7</v>
      </c>
      <c r="X168">
        <v>127</v>
      </c>
      <c r="Y168">
        <v>139</v>
      </c>
      <c r="Z168">
        <v>126.5</v>
      </c>
      <c r="AA168">
        <v>116.5</v>
      </c>
      <c r="AB168">
        <v>88.3</v>
      </c>
      <c r="AC168">
        <v>121.8</v>
      </c>
      <c r="AD168">
        <v>117.7</v>
      </c>
      <c r="AE168">
        <v>123.9</v>
      </c>
      <c r="AF168">
        <v>121.3</v>
      </c>
      <c r="AG168">
        <v>123.8</v>
      </c>
      <c r="AH168">
        <v>106.5</v>
      </c>
      <c r="AI168">
        <v>82.9</v>
      </c>
      <c r="AJ168">
        <v>134.80000000000001</v>
      </c>
      <c r="AK168">
        <v>91.3</v>
      </c>
      <c r="AL168">
        <v>78.5</v>
      </c>
      <c r="AM168">
        <v>118.2</v>
      </c>
      <c r="AN168">
        <v>107</v>
      </c>
      <c r="AP168" s="107"/>
    </row>
    <row r="169" spans="1:42">
      <c r="A169" s="106" cm="1">
        <f t="array" ref="A169:AN169">INDEX(INDICES,MATCH(EDATE(A168,1),'INDICES PRIX'!A:A,0),)</f>
        <v>45962</v>
      </c>
      <c r="B169">
        <v>126.2</v>
      </c>
      <c r="C169">
        <v>141.1</v>
      </c>
      <c r="D169">
        <v>137.1</v>
      </c>
      <c r="E169">
        <v>149.6</v>
      </c>
      <c r="F169">
        <v>102.87</v>
      </c>
      <c r="G169">
        <v>118.2</v>
      </c>
      <c r="H169">
        <v>125.4</v>
      </c>
      <c r="I169">
        <v>123.6</v>
      </c>
      <c r="J169">
        <v>75.7</v>
      </c>
      <c r="K169">
        <v>139.23364308124926</v>
      </c>
      <c r="L169">
        <v>100.7</v>
      </c>
      <c r="M169">
        <v>113.8</v>
      </c>
      <c r="N169">
        <v>131.6</v>
      </c>
      <c r="O169">
        <v>85.7</v>
      </c>
      <c r="P169">
        <v>115.9</v>
      </c>
      <c r="Q169">
        <v>105.1</v>
      </c>
      <c r="R169">
        <v>143.9</v>
      </c>
      <c r="S169">
        <v>110</v>
      </c>
      <c r="T169">
        <v>89.8</v>
      </c>
      <c r="U169">
        <v>107</v>
      </c>
      <c r="V169">
        <v>127.8</v>
      </c>
      <c r="W169">
        <v>114.2</v>
      </c>
      <c r="X169">
        <v>128.19999999999999</v>
      </c>
      <c r="Y169">
        <v>139.5</v>
      </c>
      <c r="Z169">
        <v>127.9</v>
      </c>
      <c r="AA169">
        <v>116.7</v>
      </c>
      <c r="AB169">
        <v>86.1</v>
      </c>
      <c r="AC169">
        <v>122.7</v>
      </c>
      <c r="AD169">
        <v>117.5</v>
      </c>
      <c r="AE169">
        <v>125.5</v>
      </c>
      <c r="AF169">
        <v>123.2</v>
      </c>
      <c r="AG169">
        <v>126.9</v>
      </c>
      <c r="AH169">
        <v>106.1</v>
      </c>
      <c r="AI169">
        <v>82.6</v>
      </c>
      <c r="AJ169">
        <v>130.1</v>
      </c>
      <c r="AK169">
        <v>90.3</v>
      </c>
      <c r="AL169">
        <v>79.599999999999994</v>
      </c>
      <c r="AM169">
        <v>117.6</v>
      </c>
      <c r="AN169">
        <v>107.1</v>
      </c>
      <c r="AP169" s="107"/>
    </row>
    <row r="170" spans="1:42">
      <c r="A170" s="106" cm="1">
        <f t="array" ref="A170:AN170">INDEX(INDICES,MATCH(EDATE(A169,1),'INDICES PRIX'!A:A,0),)</f>
        <v>45992</v>
      </c>
      <c r="B170">
        <v>125.5</v>
      </c>
      <c r="C170">
        <v>141.80000000000001</v>
      </c>
      <c r="D170">
        <v>137.4</v>
      </c>
      <c r="E170">
        <v>141.30000000000001</v>
      </c>
      <c r="F170">
        <v>98.39</v>
      </c>
      <c r="G170">
        <v>119.7</v>
      </c>
      <c r="H170">
        <v>125.4</v>
      </c>
      <c r="I170">
        <v>146.5</v>
      </c>
      <c r="J170">
        <v>74.5</v>
      </c>
      <c r="K170">
        <v>125.53</v>
      </c>
      <c r="L170">
        <v>99.8</v>
      </c>
      <c r="M170">
        <v>113.8</v>
      </c>
      <c r="N170">
        <v>131.1</v>
      </c>
      <c r="O170">
        <v>85.6</v>
      </c>
      <c r="P170">
        <v>116.6</v>
      </c>
      <c r="Q170">
        <v>104.8</v>
      </c>
      <c r="R170">
        <v>143.80000000000001</v>
      </c>
      <c r="S170">
        <v>109.5</v>
      </c>
      <c r="T170">
        <v>89.6</v>
      </c>
      <c r="U170">
        <v>101.7</v>
      </c>
      <c r="V170">
        <v>127.2</v>
      </c>
      <c r="W170">
        <v>112.1</v>
      </c>
      <c r="X170">
        <v>127.5</v>
      </c>
      <c r="Y170">
        <v>138.1</v>
      </c>
      <c r="Z170">
        <v>127.9</v>
      </c>
      <c r="AA170">
        <v>117</v>
      </c>
      <c r="AB170">
        <v>84.7</v>
      </c>
      <c r="AC170">
        <v>120</v>
      </c>
      <c r="AD170">
        <v>117.8</v>
      </c>
      <c r="AE170">
        <v>125.5</v>
      </c>
      <c r="AF170">
        <v>123.3</v>
      </c>
      <c r="AG170">
        <v>127.6</v>
      </c>
      <c r="AH170">
        <v>105.6</v>
      </c>
      <c r="AI170">
        <v>82.8</v>
      </c>
      <c r="AJ170">
        <v>132.4</v>
      </c>
      <c r="AK170">
        <v>91.2</v>
      </c>
      <c r="AL170">
        <v>81.099999999999994</v>
      </c>
      <c r="AM170">
        <v>117.6</v>
      </c>
      <c r="AN170">
        <v>108</v>
      </c>
      <c r="AP170" s="107"/>
    </row>
    <row r="171" spans="1:42">
      <c r="A171" s="106" cm="1">
        <f t="array" ref="A171:AN171">INDEX(INDICES,MATCH(EDATE(A170,1),'INDICES PRIX'!A:A,0),)</f>
        <v>46023</v>
      </c>
      <c r="B171">
        <v>127.6</v>
      </c>
      <c r="C171">
        <v>141.80000000000001</v>
      </c>
      <c r="D171">
        <v>137.69999999999999</v>
      </c>
      <c r="E171">
        <v>150.1</v>
      </c>
      <c r="F171">
        <v>100.91</v>
      </c>
      <c r="G171">
        <v>118</v>
      </c>
      <c r="H171">
        <v>125.7</v>
      </c>
      <c r="I171">
        <v>154.19999999999999</v>
      </c>
      <c r="J171">
        <v>71.400000000000006</v>
      </c>
      <c r="K171">
        <v>133.73804474216251</v>
      </c>
      <c r="L171">
        <v>100.1</v>
      </c>
      <c r="M171">
        <v>113.9</v>
      </c>
      <c r="N171">
        <v>133.80000000000001</v>
      </c>
      <c r="O171">
        <v>85.5</v>
      </c>
      <c r="P171">
        <v>116.4</v>
      </c>
      <c r="Q171">
        <v>104.2</v>
      </c>
      <c r="R171">
        <v>150.4</v>
      </c>
      <c r="S171">
        <v>112.4</v>
      </c>
      <c r="T171">
        <v>89.6</v>
      </c>
      <c r="U171">
        <v>96.9</v>
      </c>
      <c r="V171">
        <v>126.8</v>
      </c>
      <c r="W171">
        <v>115.1</v>
      </c>
      <c r="X171">
        <v>127.5</v>
      </c>
      <c r="Y171">
        <v>138.1</v>
      </c>
      <c r="Z171">
        <v>127.9</v>
      </c>
      <c r="AA171">
        <v>118.5</v>
      </c>
      <c r="AB171">
        <v>83.8</v>
      </c>
      <c r="AC171">
        <v>122.9</v>
      </c>
      <c r="AD171">
        <v>118.9</v>
      </c>
      <c r="AE171">
        <v>125.5</v>
      </c>
      <c r="AF171">
        <v>128</v>
      </c>
      <c r="AG171">
        <v>134.9</v>
      </c>
      <c r="AH171">
        <v>107.3</v>
      </c>
      <c r="AI171">
        <v>82.7</v>
      </c>
      <c r="AJ171">
        <v>131.19999999999999</v>
      </c>
      <c r="AK171">
        <v>93</v>
      </c>
      <c r="AL171">
        <v>82.7</v>
      </c>
      <c r="AM171">
        <v>118.5</v>
      </c>
      <c r="AN171">
        <v>110.3</v>
      </c>
      <c r="AP171" s="107"/>
    </row>
    <row r="172" spans="1:42">
      <c r="A172" s="106" cm="1">
        <f t="array" ref="A172:AN172">INDEX(INDICES,MATCH(EDATE(A171,1),'INDICES PRIX'!A:A,0),)</f>
        <v>46054</v>
      </c>
      <c r="B172" s="109">
        <v>125.6</v>
      </c>
      <c r="C172" s="109">
        <v>141.80000000000001</v>
      </c>
      <c r="D172" s="109">
        <v>137.69999999999999</v>
      </c>
      <c r="E172" s="109">
        <v>157.19999999999999</v>
      </c>
      <c r="F172" s="109">
        <v>103.42</v>
      </c>
      <c r="G172" s="109">
        <v>119.2</v>
      </c>
      <c r="H172" s="109">
        <v>125.7</v>
      </c>
      <c r="I172" s="109">
        <v>147.6</v>
      </c>
      <c r="J172" s="109">
        <v>80.7</v>
      </c>
      <c r="K172" s="109">
        <v>139.37546497387086</v>
      </c>
      <c r="L172" s="109">
        <v>101.1</v>
      </c>
      <c r="M172" s="109">
        <v>113.8</v>
      </c>
      <c r="N172" s="109">
        <v>133.19999999999999</v>
      </c>
      <c r="O172" s="109">
        <v>86.1</v>
      </c>
      <c r="P172" s="109">
        <v>118.3</v>
      </c>
      <c r="Q172" s="109">
        <v>103.7</v>
      </c>
      <c r="R172" s="109">
        <v>149.19999999999999</v>
      </c>
      <c r="S172" s="109">
        <v>112.3</v>
      </c>
      <c r="T172" s="109">
        <v>89.6</v>
      </c>
      <c r="U172" s="109">
        <v>100.5</v>
      </c>
      <c r="V172" s="109">
        <v>128.5</v>
      </c>
      <c r="W172" s="109">
        <v>114.1</v>
      </c>
      <c r="X172" s="109">
        <v>129.19999999999999</v>
      </c>
      <c r="Y172" s="109">
        <v>138.1</v>
      </c>
      <c r="Z172" s="109">
        <v>127.9</v>
      </c>
      <c r="AA172" s="109">
        <v>118.5</v>
      </c>
      <c r="AB172" s="109">
        <v>84.4</v>
      </c>
      <c r="AC172" s="109">
        <v>117.7</v>
      </c>
      <c r="AD172" s="109">
        <v>119.9</v>
      </c>
      <c r="AE172" s="109">
        <v>125.5</v>
      </c>
      <c r="AF172" s="109">
        <v>128.9</v>
      </c>
      <c r="AG172" s="109">
        <v>136.80000000000001</v>
      </c>
      <c r="AH172" s="109">
        <v>104.4</v>
      </c>
      <c r="AI172" s="109">
        <v>82.6</v>
      </c>
      <c r="AJ172" s="109">
        <v>130.80000000000001</v>
      </c>
      <c r="AK172" s="109">
        <v>94.6</v>
      </c>
      <c r="AL172" s="109">
        <v>84.2</v>
      </c>
      <c r="AM172" s="109">
        <v>118.5</v>
      </c>
      <c r="AN172" s="109">
        <v>111.4</v>
      </c>
      <c r="AO172" s="109"/>
      <c r="AP172" s="110"/>
    </row>
    <row r="173" spans="1:42">
      <c r="A173" s="95" t="s">
        <v>201</v>
      </c>
      <c r="B173">
        <f>SUM(B167:B172)</f>
        <v>758.4</v>
      </c>
      <c r="C173">
        <f t="shared" ref="C173:AP173" si="30">SUM(C167:C172)</f>
        <v>846.59999999999991</v>
      </c>
      <c r="D173">
        <f t="shared" si="30"/>
        <v>823.2</v>
      </c>
      <c r="E173">
        <f t="shared" si="30"/>
        <v>886.7</v>
      </c>
      <c r="F173">
        <f t="shared" si="30"/>
        <v>603.38</v>
      </c>
      <c r="G173">
        <f t="shared" si="30"/>
        <v>712.7</v>
      </c>
      <c r="H173">
        <f t="shared" si="30"/>
        <v>752.90000000000009</v>
      </c>
      <c r="I173">
        <f t="shared" si="30"/>
        <v>788.80000000000007</v>
      </c>
      <c r="J173">
        <f t="shared" si="30"/>
        <v>458.59999999999997</v>
      </c>
      <c r="K173">
        <f t="shared" si="30"/>
        <v>795.72708131991703</v>
      </c>
      <c r="L173">
        <f t="shared" si="30"/>
        <v>604.5</v>
      </c>
      <c r="M173">
        <f t="shared" si="30"/>
        <v>682</v>
      </c>
      <c r="N173">
        <f t="shared" si="30"/>
        <v>792.7</v>
      </c>
      <c r="O173">
        <f t="shared" si="30"/>
        <v>517</v>
      </c>
      <c r="P173">
        <f t="shared" si="30"/>
        <v>699</v>
      </c>
      <c r="Q173">
        <f t="shared" si="30"/>
        <v>629.80000000000007</v>
      </c>
      <c r="R173">
        <f t="shared" si="30"/>
        <v>874.19999999999982</v>
      </c>
      <c r="S173">
        <f t="shared" si="30"/>
        <v>658.09999999999991</v>
      </c>
      <c r="T173">
        <f t="shared" si="30"/>
        <v>539.70000000000005</v>
      </c>
      <c r="U173">
        <f t="shared" si="30"/>
        <v>622.6</v>
      </c>
      <c r="V173">
        <f t="shared" si="30"/>
        <v>773.3</v>
      </c>
      <c r="W173">
        <f t="shared" si="30"/>
        <v>684.30000000000007</v>
      </c>
      <c r="X173">
        <f t="shared" si="30"/>
        <v>768.5</v>
      </c>
      <c r="Y173">
        <f t="shared" si="30"/>
        <v>833.2</v>
      </c>
      <c r="Z173">
        <f t="shared" si="30"/>
        <v>765.09999999999991</v>
      </c>
      <c r="AA173">
        <f t="shared" si="30"/>
        <v>704.1</v>
      </c>
      <c r="AB173">
        <f t="shared" si="30"/>
        <v>515.29999999999995</v>
      </c>
      <c r="AC173">
        <f t="shared" si="30"/>
        <v>726.5</v>
      </c>
      <c r="AD173">
        <f t="shared" si="30"/>
        <v>710.1</v>
      </c>
      <c r="AE173">
        <f t="shared" si="30"/>
        <v>750</v>
      </c>
      <c r="AF173">
        <f t="shared" si="30"/>
        <v>746.9</v>
      </c>
      <c r="AG173">
        <f t="shared" si="30"/>
        <v>778.2</v>
      </c>
      <c r="AH173">
        <f t="shared" si="30"/>
        <v>637.49999999999989</v>
      </c>
      <c r="AI173">
        <f t="shared" si="30"/>
        <v>496</v>
      </c>
      <c r="AJ173">
        <f t="shared" si="30"/>
        <v>794</v>
      </c>
      <c r="AK173">
        <f t="shared" si="30"/>
        <v>552.5</v>
      </c>
      <c r="AL173">
        <f t="shared" si="30"/>
        <v>486.19999999999993</v>
      </c>
      <c r="AM173">
        <f t="shared" si="30"/>
        <v>708.9</v>
      </c>
      <c r="AN173">
        <f t="shared" si="30"/>
        <v>650.9</v>
      </c>
      <c r="AO173">
        <f t="shared" si="30"/>
        <v>0</v>
      </c>
      <c r="AP173">
        <f t="shared" si="30"/>
        <v>0</v>
      </c>
    </row>
    <row r="174" spans="1:42">
      <c r="A174" s="95" t="s">
        <v>202</v>
      </c>
      <c r="B174">
        <f>SUM(B161:B166)</f>
        <v>757</v>
      </c>
      <c r="C174">
        <f t="shared" ref="C174:AP174" si="31">SUM(C161:C166)</f>
        <v>831</v>
      </c>
      <c r="D174">
        <f t="shared" si="31"/>
        <v>814.3</v>
      </c>
      <c r="E174">
        <f t="shared" si="31"/>
        <v>861.2</v>
      </c>
      <c r="F174">
        <f t="shared" si="31"/>
        <v>591.59</v>
      </c>
      <c r="G174">
        <f t="shared" si="31"/>
        <v>717.4</v>
      </c>
      <c r="H174">
        <f t="shared" si="31"/>
        <v>750.59999999999991</v>
      </c>
      <c r="I174">
        <f t="shared" si="31"/>
        <v>705.7</v>
      </c>
      <c r="J174">
        <f t="shared" si="31"/>
        <v>545.20000000000005</v>
      </c>
      <c r="K174">
        <f t="shared" si="31"/>
        <v>766.66182184822151</v>
      </c>
      <c r="L174">
        <f t="shared" si="31"/>
        <v>610.1</v>
      </c>
      <c r="M174">
        <f t="shared" si="31"/>
        <v>674.4</v>
      </c>
      <c r="N174">
        <f t="shared" si="31"/>
        <v>788</v>
      </c>
      <c r="O174">
        <f t="shared" si="31"/>
        <v>532.79999999999995</v>
      </c>
      <c r="P174">
        <f t="shared" si="31"/>
        <v>696.59999999999991</v>
      </c>
      <c r="Q174">
        <f t="shared" si="31"/>
        <v>644.5</v>
      </c>
      <c r="R174">
        <f t="shared" si="31"/>
        <v>867.7</v>
      </c>
      <c r="S174">
        <f t="shared" si="31"/>
        <v>668.5</v>
      </c>
      <c r="T174">
        <f t="shared" si="31"/>
        <v>555.30000000000007</v>
      </c>
      <c r="U174">
        <f t="shared" si="31"/>
        <v>718.3</v>
      </c>
      <c r="V174">
        <f t="shared" si="31"/>
        <v>787.30000000000007</v>
      </c>
      <c r="W174">
        <f t="shared" si="31"/>
        <v>685.9</v>
      </c>
      <c r="X174">
        <f t="shared" si="31"/>
        <v>777.9</v>
      </c>
      <c r="Y174">
        <f t="shared" si="31"/>
        <v>837.60000000000014</v>
      </c>
      <c r="Z174">
        <f t="shared" si="31"/>
        <v>777.2</v>
      </c>
      <c r="AA174">
        <f t="shared" si="31"/>
        <v>696.9</v>
      </c>
      <c r="AB174">
        <f t="shared" si="31"/>
        <v>554.1</v>
      </c>
      <c r="AC174">
        <f t="shared" si="31"/>
        <v>725.8</v>
      </c>
      <c r="AD174">
        <f t="shared" si="31"/>
        <v>714.9</v>
      </c>
      <c r="AE174">
        <f t="shared" si="31"/>
        <v>762.7</v>
      </c>
      <c r="AF174">
        <f t="shared" si="31"/>
        <v>714.3</v>
      </c>
      <c r="AG174">
        <f t="shared" si="31"/>
        <v>727.9</v>
      </c>
      <c r="AH174">
        <f t="shared" si="31"/>
        <v>645</v>
      </c>
      <c r="AI174">
        <f t="shared" si="31"/>
        <v>503</v>
      </c>
      <c r="AJ174">
        <f t="shared" si="31"/>
        <v>819.1</v>
      </c>
      <c r="AK174">
        <f t="shared" si="31"/>
        <v>564.9</v>
      </c>
      <c r="AL174">
        <f t="shared" si="31"/>
        <v>491.1</v>
      </c>
      <c r="AM174">
        <f t="shared" si="31"/>
        <v>710.4</v>
      </c>
      <c r="AN174">
        <f t="shared" si="31"/>
        <v>657.2</v>
      </c>
      <c r="AO174">
        <f t="shared" si="31"/>
        <v>0</v>
      </c>
      <c r="AP174">
        <f t="shared" si="31"/>
        <v>0</v>
      </c>
    </row>
    <row r="176" spans="1:42" ht="18.75">
      <c r="B176" s="235" t="s">
        <v>249</v>
      </c>
      <c r="C176" s="235"/>
      <c r="D176" s="235"/>
      <c r="E176" s="235"/>
    </row>
    <row r="177" spans="1:42">
      <c r="B177" s="236" t="s">
        <v>39</v>
      </c>
      <c r="C177" s="236"/>
      <c r="D177" s="236"/>
    </row>
    <row r="178" spans="1:42">
      <c r="A178" s="104" cm="1">
        <f t="array" ref="A178:AN178">INDEX(INDICES,MATCH(EDATE(DATE4,-5),'INDICES PRIX'!A:A,0),)</f>
        <v>45901</v>
      </c>
      <c r="B178" s="6">
        <v>126.8</v>
      </c>
      <c r="C178" s="43">
        <v>139.69999999999999</v>
      </c>
      <c r="D178" s="43">
        <v>136.5</v>
      </c>
      <c r="E178" s="43">
        <v>145.1</v>
      </c>
      <c r="F178" s="43">
        <v>99.17</v>
      </c>
      <c r="G178" s="43">
        <v>118.1</v>
      </c>
      <c r="H178" s="43">
        <v>125.3</v>
      </c>
      <c r="I178" s="43">
        <v>107.4</v>
      </c>
      <c r="J178" s="43">
        <v>78.7</v>
      </c>
      <c r="K178" s="43">
        <v>129.37702154404852</v>
      </c>
      <c r="L178" s="43">
        <v>101.9</v>
      </c>
      <c r="M178" s="43">
        <v>112.9</v>
      </c>
      <c r="N178" s="43">
        <v>131.30000000000001</v>
      </c>
      <c r="O178" s="43">
        <v>87.7</v>
      </c>
      <c r="P178" s="43">
        <v>115.8</v>
      </c>
      <c r="Q178" s="43">
        <v>106.2</v>
      </c>
      <c r="R178" s="43">
        <v>143.6</v>
      </c>
      <c r="S178" s="43">
        <v>106.9</v>
      </c>
      <c r="T178" s="43">
        <v>90.7</v>
      </c>
      <c r="U178" s="43">
        <v>109.8</v>
      </c>
      <c r="V178" s="43">
        <v>130.69999999999999</v>
      </c>
      <c r="W178" s="43">
        <v>114.1</v>
      </c>
      <c r="X178" s="43">
        <v>129.1</v>
      </c>
      <c r="Y178" s="43">
        <v>140.4</v>
      </c>
      <c r="Z178" s="43">
        <v>127</v>
      </c>
      <c r="AA178" s="43">
        <v>116.9</v>
      </c>
      <c r="AB178" s="43">
        <v>88</v>
      </c>
      <c r="AC178" s="43">
        <v>121.4</v>
      </c>
      <c r="AD178" s="43">
        <v>118.3</v>
      </c>
      <c r="AE178" s="43">
        <v>124.1</v>
      </c>
      <c r="AF178" s="43">
        <v>122.2</v>
      </c>
      <c r="AG178" s="43">
        <v>128.19999999999999</v>
      </c>
      <c r="AH178" s="43">
        <v>107.6</v>
      </c>
      <c r="AI178" s="43">
        <v>82.4</v>
      </c>
      <c r="AJ178" s="43">
        <v>134.69999999999999</v>
      </c>
      <c r="AK178" s="43">
        <v>92.1</v>
      </c>
      <c r="AL178" s="43">
        <v>80.099999999999994</v>
      </c>
      <c r="AM178" s="43">
        <v>118.5</v>
      </c>
      <c r="AN178" s="43">
        <v>107.1</v>
      </c>
      <c r="AO178" s="43"/>
      <c r="AP178" s="7"/>
    </row>
    <row r="179" spans="1:42">
      <c r="A179" s="106" cm="1">
        <f t="array" ref="A179:AN179">INDEX(INDICES,MATCH(EDATE(A178,1),'INDICES PRIX'!A:A,0),)</f>
        <v>45931</v>
      </c>
      <c r="B179" s="112">
        <v>126.7</v>
      </c>
      <c r="C179">
        <v>140.4</v>
      </c>
      <c r="D179">
        <v>136.80000000000001</v>
      </c>
      <c r="E179">
        <v>143.4</v>
      </c>
      <c r="F179">
        <v>98.62</v>
      </c>
      <c r="G179">
        <v>119.5</v>
      </c>
      <c r="H179">
        <v>125.4</v>
      </c>
      <c r="I179">
        <v>109.5</v>
      </c>
      <c r="J179">
        <v>77.599999999999994</v>
      </c>
      <c r="K179">
        <v>128.47290697858585</v>
      </c>
      <c r="L179">
        <v>100.9</v>
      </c>
      <c r="M179">
        <v>113.8</v>
      </c>
      <c r="N179">
        <v>131.69999999999999</v>
      </c>
      <c r="O179">
        <v>86.4</v>
      </c>
      <c r="P179">
        <v>116</v>
      </c>
      <c r="Q179">
        <v>105.8</v>
      </c>
      <c r="R179">
        <v>143.30000000000001</v>
      </c>
      <c r="S179">
        <v>107</v>
      </c>
      <c r="T179">
        <v>90.4</v>
      </c>
      <c r="U179">
        <v>106.7</v>
      </c>
      <c r="V179">
        <v>132.30000000000001</v>
      </c>
      <c r="W179">
        <v>114.7</v>
      </c>
      <c r="X179">
        <v>127</v>
      </c>
      <c r="Y179">
        <v>139</v>
      </c>
      <c r="Z179">
        <v>126.5</v>
      </c>
      <c r="AA179">
        <v>116.5</v>
      </c>
      <c r="AB179">
        <v>88.3</v>
      </c>
      <c r="AC179">
        <v>121.8</v>
      </c>
      <c r="AD179">
        <v>117.7</v>
      </c>
      <c r="AE179">
        <v>123.9</v>
      </c>
      <c r="AF179">
        <v>121.3</v>
      </c>
      <c r="AG179">
        <v>123.8</v>
      </c>
      <c r="AH179">
        <v>106.5</v>
      </c>
      <c r="AI179">
        <v>82.9</v>
      </c>
      <c r="AJ179">
        <v>134.80000000000001</v>
      </c>
      <c r="AK179">
        <v>91.3</v>
      </c>
      <c r="AL179">
        <v>78.5</v>
      </c>
      <c r="AM179">
        <v>118.2</v>
      </c>
      <c r="AN179">
        <v>107</v>
      </c>
      <c r="AP179" s="107"/>
    </row>
    <row r="180" spans="1:42">
      <c r="A180" s="106" cm="1">
        <f t="array" ref="A180:AN180">INDEX(INDICES,MATCH(EDATE(A179,1),'INDICES PRIX'!A:A,0),)</f>
        <v>45962</v>
      </c>
      <c r="B180" s="112">
        <v>126.2</v>
      </c>
      <c r="C180">
        <v>141.1</v>
      </c>
      <c r="D180">
        <v>137.1</v>
      </c>
      <c r="E180">
        <v>149.6</v>
      </c>
      <c r="F180">
        <v>102.87</v>
      </c>
      <c r="G180">
        <v>118.2</v>
      </c>
      <c r="H180">
        <v>125.4</v>
      </c>
      <c r="I180">
        <v>123.6</v>
      </c>
      <c r="J180">
        <v>75.7</v>
      </c>
      <c r="K180">
        <v>139.23364308124926</v>
      </c>
      <c r="L180">
        <v>100.7</v>
      </c>
      <c r="M180">
        <v>113.8</v>
      </c>
      <c r="N180">
        <v>131.6</v>
      </c>
      <c r="O180">
        <v>85.7</v>
      </c>
      <c r="P180">
        <v>115.9</v>
      </c>
      <c r="Q180">
        <v>105.1</v>
      </c>
      <c r="R180">
        <v>143.9</v>
      </c>
      <c r="S180">
        <v>110</v>
      </c>
      <c r="T180">
        <v>89.8</v>
      </c>
      <c r="U180">
        <v>107</v>
      </c>
      <c r="V180">
        <v>127.8</v>
      </c>
      <c r="W180">
        <v>114.2</v>
      </c>
      <c r="X180">
        <v>128.19999999999999</v>
      </c>
      <c r="Y180">
        <v>139.5</v>
      </c>
      <c r="Z180">
        <v>127.9</v>
      </c>
      <c r="AA180">
        <v>116.7</v>
      </c>
      <c r="AB180">
        <v>86.1</v>
      </c>
      <c r="AC180">
        <v>122.7</v>
      </c>
      <c r="AD180">
        <v>117.5</v>
      </c>
      <c r="AE180">
        <v>125.5</v>
      </c>
      <c r="AF180">
        <v>123.2</v>
      </c>
      <c r="AG180">
        <v>126.9</v>
      </c>
      <c r="AH180">
        <v>106.1</v>
      </c>
      <c r="AI180">
        <v>82.6</v>
      </c>
      <c r="AJ180">
        <v>130.1</v>
      </c>
      <c r="AK180">
        <v>90.3</v>
      </c>
      <c r="AL180">
        <v>79.599999999999994</v>
      </c>
      <c r="AM180">
        <v>117.6</v>
      </c>
      <c r="AN180">
        <v>107.1</v>
      </c>
      <c r="AP180" s="107"/>
    </row>
    <row r="181" spans="1:42">
      <c r="A181" s="106" cm="1">
        <f t="array" ref="A181:AN181">INDEX(INDICES,MATCH(EDATE(A180,1),'INDICES PRIX'!A:A,0),)</f>
        <v>45992</v>
      </c>
      <c r="B181" s="112">
        <v>125.5</v>
      </c>
      <c r="C181">
        <v>141.80000000000001</v>
      </c>
      <c r="D181">
        <v>137.4</v>
      </c>
      <c r="E181">
        <v>141.30000000000001</v>
      </c>
      <c r="F181">
        <v>98.39</v>
      </c>
      <c r="G181">
        <v>119.7</v>
      </c>
      <c r="H181">
        <v>125.4</v>
      </c>
      <c r="I181">
        <v>146.5</v>
      </c>
      <c r="J181">
        <v>74.5</v>
      </c>
      <c r="K181">
        <v>125.53</v>
      </c>
      <c r="L181">
        <v>99.8</v>
      </c>
      <c r="M181">
        <v>113.8</v>
      </c>
      <c r="N181">
        <v>131.1</v>
      </c>
      <c r="O181">
        <v>85.6</v>
      </c>
      <c r="P181">
        <v>116.6</v>
      </c>
      <c r="Q181">
        <v>104.8</v>
      </c>
      <c r="R181">
        <v>143.80000000000001</v>
      </c>
      <c r="S181">
        <v>109.5</v>
      </c>
      <c r="T181">
        <v>89.6</v>
      </c>
      <c r="U181">
        <v>101.7</v>
      </c>
      <c r="V181">
        <v>127.2</v>
      </c>
      <c r="W181">
        <v>112.1</v>
      </c>
      <c r="X181">
        <v>127.5</v>
      </c>
      <c r="Y181">
        <v>138.1</v>
      </c>
      <c r="Z181">
        <v>127.9</v>
      </c>
      <c r="AA181">
        <v>117</v>
      </c>
      <c r="AB181">
        <v>84.7</v>
      </c>
      <c r="AC181">
        <v>120</v>
      </c>
      <c r="AD181">
        <v>117.8</v>
      </c>
      <c r="AE181">
        <v>125.5</v>
      </c>
      <c r="AF181">
        <v>123.3</v>
      </c>
      <c r="AG181">
        <v>127.6</v>
      </c>
      <c r="AH181">
        <v>105.6</v>
      </c>
      <c r="AI181">
        <v>82.8</v>
      </c>
      <c r="AJ181">
        <v>132.4</v>
      </c>
      <c r="AK181">
        <v>91.2</v>
      </c>
      <c r="AL181">
        <v>81.099999999999994</v>
      </c>
      <c r="AM181">
        <v>117.6</v>
      </c>
      <c r="AN181">
        <v>108</v>
      </c>
      <c r="AP181" s="107"/>
    </row>
    <row r="182" spans="1:42">
      <c r="A182" s="106" cm="1">
        <f t="array" ref="A182:AN182">INDEX(INDICES,MATCH(EDATE(A181,1),'INDICES PRIX'!A:A,0),)</f>
        <v>46023</v>
      </c>
      <c r="B182" s="112">
        <v>127.6</v>
      </c>
      <c r="C182">
        <v>141.80000000000001</v>
      </c>
      <c r="D182">
        <v>137.69999999999999</v>
      </c>
      <c r="E182">
        <v>150.1</v>
      </c>
      <c r="F182">
        <v>100.91</v>
      </c>
      <c r="G182">
        <v>118</v>
      </c>
      <c r="H182">
        <v>125.7</v>
      </c>
      <c r="I182">
        <v>154.19999999999999</v>
      </c>
      <c r="J182">
        <v>71.400000000000006</v>
      </c>
      <c r="K182">
        <v>133.73804474216251</v>
      </c>
      <c r="L182">
        <v>100.1</v>
      </c>
      <c r="M182">
        <v>113.9</v>
      </c>
      <c r="N182">
        <v>133.80000000000001</v>
      </c>
      <c r="O182">
        <v>85.5</v>
      </c>
      <c r="P182">
        <v>116.4</v>
      </c>
      <c r="Q182">
        <v>104.2</v>
      </c>
      <c r="R182">
        <v>150.4</v>
      </c>
      <c r="S182">
        <v>112.4</v>
      </c>
      <c r="T182">
        <v>89.6</v>
      </c>
      <c r="U182">
        <v>96.9</v>
      </c>
      <c r="V182">
        <v>126.8</v>
      </c>
      <c r="W182">
        <v>115.1</v>
      </c>
      <c r="X182">
        <v>127.5</v>
      </c>
      <c r="Y182">
        <v>138.1</v>
      </c>
      <c r="Z182">
        <v>127.9</v>
      </c>
      <c r="AA182">
        <v>118.5</v>
      </c>
      <c r="AB182">
        <v>83.8</v>
      </c>
      <c r="AC182">
        <v>122.9</v>
      </c>
      <c r="AD182">
        <v>118.9</v>
      </c>
      <c r="AE182">
        <v>125.5</v>
      </c>
      <c r="AF182">
        <v>128</v>
      </c>
      <c r="AG182">
        <v>134.9</v>
      </c>
      <c r="AH182">
        <v>107.3</v>
      </c>
      <c r="AI182">
        <v>82.7</v>
      </c>
      <c r="AJ182">
        <v>131.19999999999999</v>
      </c>
      <c r="AK182">
        <v>93</v>
      </c>
      <c r="AL182">
        <v>82.7</v>
      </c>
      <c r="AM182">
        <v>118.5</v>
      </c>
      <c r="AN182">
        <v>110.3</v>
      </c>
      <c r="AP182" s="107"/>
    </row>
    <row r="183" spans="1:42">
      <c r="A183" s="108" cm="1">
        <f t="array" ref="A183:AN183">INDEX(INDICES,MATCH(EDATE(A182,1),'INDICES PRIX'!A:A,0),)</f>
        <v>46054</v>
      </c>
      <c r="B183" s="113">
        <v>125.6</v>
      </c>
      <c r="C183" s="109">
        <v>141.80000000000001</v>
      </c>
      <c r="D183" s="109">
        <v>137.69999999999999</v>
      </c>
      <c r="E183" s="109">
        <v>157.19999999999999</v>
      </c>
      <c r="F183" s="109">
        <v>103.42</v>
      </c>
      <c r="G183" s="109">
        <v>119.2</v>
      </c>
      <c r="H183" s="109">
        <v>125.7</v>
      </c>
      <c r="I183" s="109">
        <v>147.6</v>
      </c>
      <c r="J183" s="109">
        <v>80.7</v>
      </c>
      <c r="K183" s="109">
        <v>139.37546497387086</v>
      </c>
      <c r="L183" s="109">
        <v>101.1</v>
      </c>
      <c r="M183" s="109">
        <v>113.8</v>
      </c>
      <c r="N183" s="109">
        <v>133.19999999999999</v>
      </c>
      <c r="O183" s="109">
        <v>86.1</v>
      </c>
      <c r="P183" s="109">
        <v>118.3</v>
      </c>
      <c r="Q183" s="109">
        <v>103.7</v>
      </c>
      <c r="R183" s="109">
        <v>149.19999999999999</v>
      </c>
      <c r="S183" s="109">
        <v>112.3</v>
      </c>
      <c r="T183" s="109">
        <v>89.6</v>
      </c>
      <c r="U183" s="109">
        <v>100.5</v>
      </c>
      <c r="V183" s="109">
        <v>128.5</v>
      </c>
      <c r="W183" s="109">
        <v>114.1</v>
      </c>
      <c r="X183" s="109">
        <v>129.19999999999999</v>
      </c>
      <c r="Y183" s="109">
        <v>138.1</v>
      </c>
      <c r="Z183" s="109">
        <v>127.9</v>
      </c>
      <c r="AA183" s="109">
        <v>118.5</v>
      </c>
      <c r="AB183" s="109">
        <v>84.4</v>
      </c>
      <c r="AC183" s="109">
        <v>117.7</v>
      </c>
      <c r="AD183" s="109">
        <v>119.9</v>
      </c>
      <c r="AE183" s="109">
        <v>125.5</v>
      </c>
      <c r="AF183" s="109">
        <v>128.9</v>
      </c>
      <c r="AG183" s="109">
        <v>136.80000000000001</v>
      </c>
      <c r="AH183" s="109">
        <v>104.4</v>
      </c>
      <c r="AI183" s="109">
        <v>82.6</v>
      </c>
      <c r="AJ183" s="109">
        <v>130.80000000000001</v>
      </c>
      <c r="AK183" s="109">
        <v>94.6</v>
      </c>
      <c r="AL183" s="109">
        <v>84.2</v>
      </c>
      <c r="AM183" s="109">
        <v>118.5</v>
      </c>
      <c r="AN183" s="109">
        <v>111.4</v>
      </c>
      <c r="AO183" s="109"/>
      <c r="AP183" s="110"/>
    </row>
    <row r="184" spans="1:42">
      <c r="A184" s="95" t="s">
        <v>201</v>
      </c>
      <c r="B184">
        <f>SUM(B181:B183)</f>
        <v>378.7</v>
      </c>
      <c r="C184">
        <f>SUM(C181:C183)</f>
        <v>425.40000000000003</v>
      </c>
      <c r="D184">
        <f t="shared" ref="D184:AP184" si="32">SUM(D181:D183)</f>
        <v>412.8</v>
      </c>
      <c r="E184">
        <f t="shared" si="32"/>
        <v>448.59999999999997</v>
      </c>
      <c r="F184">
        <f t="shared" si="32"/>
        <v>302.72000000000003</v>
      </c>
      <c r="G184">
        <f t="shared" si="32"/>
        <v>356.9</v>
      </c>
      <c r="H184">
        <f t="shared" si="32"/>
        <v>376.8</v>
      </c>
      <c r="I184">
        <f t="shared" si="32"/>
        <v>448.29999999999995</v>
      </c>
      <c r="J184">
        <f t="shared" si="32"/>
        <v>226.60000000000002</v>
      </c>
      <c r="K184">
        <f t="shared" si="32"/>
        <v>398.64350971603335</v>
      </c>
      <c r="L184">
        <f t="shared" si="32"/>
        <v>301</v>
      </c>
      <c r="M184">
        <f t="shared" si="32"/>
        <v>341.5</v>
      </c>
      <c r="N184">
        <f t="shared" si="32"/>
        <v>398.09999999999997</v>
      </c>
      <c r="O184">
        <f t="shared" si="32"/>
        <v>257.2</v>
      </c>
      <c r="P184">
        <f t="shared" si="32"/>
        <v>351.3</v>
      </c>
      <c r="Q184">
        <f t="shared" si="32"/>
        <v>312.7</v>
      </c>
      <c r="R184">
        <f t="shared" si="32"/>
        <v>443.40000000000003</v>
      </c>
      <c r="S184">
        <f t="shared" si="32"/>
        <v>334.2</v>
      </c>
      <c r="T184">
        <f t="shared" si="32"/>
        <v>268.79999999999995</v>
      </c>
      <c r="U184">
        <f t="shared" si="32"/>
        <v>299.10000000000002</v>
      </c>
      <c r="V184">
        <f t="shared" si="32"/>
        <v>382.5</v>
      </c>
      <c r="W184">
        <f t="shared" si="32"/>
        <v>341.29999999999995</v>
      </c>
      <c r="X184">
        <f t="shared" si="32"/>
        <v>384.2</v>
      </c>
      <c r="Y184">
        <f t="shared" si="32"/>
        <v>414.29999999999995</v>
      </c>
      <c r="Z184">
        <f t="shared" si="32"/>
        <v>383.70000000000005</v>
      </c>
      <c r="AA184">
        <f t="shared" si="32"/>
        <v>354</v>
      </c>
      <c r="AB184">
        <f t="shared" si="32"/>
        <v>252.9</v>
      </c>
      <c r="AC184">
        <f t="shared" si="32"/>
        <v>360.6</v>
      </c>
      <c r="AD184">
        <f t="shared" si="32"/>
        <v>356.6</v>
      </c>
      <c r="AE184">
        <f t="shared" si="32"/>
        <v>376.5</v>
      </c>
      <c r="AF184">
        <f t="shared" si="32"/>
        <v>380.20000000000005</v>
      </c>
      <c r="AG184">
        <f t="shared" si="32"/>
        <v>399.3</v>
      </c>
      <c r="AH184">
        <f t="shared" si="32"/>
        <v>317.29999999999995</v>
      </c>
      <c r="AI184">
        <f t="shared" si="32"/>
        <v>248.1</v>
      </c>
      <c r="AJ184">
        <f t="shared" si="32"/>
        <v>394.40000000000003</v>
      </c>
      <c r="AK184">
        <f t="shared" si="32"/>
        <v>278.79999999999995</v>
      </c>
      <c r="AL184">
        <f t="shared" si="32"/>
        <v>248</v>
      </c>
      <c r="AM184">
        <f t="shared" si="32"/>
        <v>354.6</v>
      </c>
      <c r="AN184">
        <f t="shared" si="32"/>
        <v>329.70000000000005</v>
      </c>
      <c r="AO184">
        <f t="shared" si="32"/>
        <v>0</v>
      </c>
      <c r="AP184">
        <f t="shared" si="32"/>
        <v>0</v>
      </c>
    </row>
    <row r="185" spans="1:42">
      <c r="A185" s="95" t="s">
        <v>202</v>
      </c>
      <c r="B185">
        <f>SUM(B178:B180)</f>
        <v>379.7</v>
      </c>
      <c r="C185">
        <f>SUM(C178:C180)</f>
        <v>421.20000000000005</v>
      </c>
      <c r="D185">
        <f t="shared" ref="D185:AP185" si="33">SUM(D178:D180)</f>
        <v>410.4</v>
      </c>
      <c r="E185">
        <f t="shared" si="33"/>
        <v>438.1</v>
      </c>
      <c r="F185">
        <f t="shared" si="33"/>
        <v>300.66000000000003</v>
      </c>
      <c r="G185">
        <f t="shared" si="33"/>
        <v>355.8</v>
      </c>
      <c r="H185">
        <f t="shared" si="33"/>
        <v>376.1</v>
      </c>
      <c r="I185">
        <f t="shared" si="33"/>
        <v>340.5</v>
      </c>
      <c r="J185">
        <f t="shared" si="33"/>
        <v>232</v>
      </c>
      <c r="K185">
        <f t="shared" si="33"/>
        <v>397.08357160388368</v>
      </c>
      <c r="L185">
        <f t="shared" si="33"/>
        <v>303.5</v>
      </c>
      <c r="M185">
        <f t="shared" si="33"/>
        <v>340.5</v>
      </c>
      <c r="N185">
        <f t="shared" si="33"/>
        <v>394.6</v>
      </c>
      <c r="O185">
        <f t="shared" si="33"/>
        <v>259.8</v>
      </c>
      <c r="P185">
        <f t="shared" si="33"/>
        <v>347.70000000000005</v>
      </c>
      <c r="Q185">
        <f t="shared" si="33"/>
        <v>317.10000000000002</v>
      </c>
      <c r="R185">
        <f t="shared" si="33"/>
        <v>430.79999999999995</v>
      </c>
      <c r="S185">
        <f t="shared" si="33"/>
        <v>323.89999999999998</v>
      </c>
      <c r="T185">
        <f t="shared" si="33"/>
        <v>270.90000000000003</v>
      </c>
      <c r="U185">
        <f t="shared" si="33"/>
        <v>323.5</v>
      </c>
      <c r="V185">
        <f t="shared" si="33"/>
        <v>390.8</v>
      </c>
      <c r="W185">
        <f t="shared" si="33"/>
        <v>343</v>
      </c>
      <c r="X185">
        <f t="shared" si="33"/>
        <v>384.3</v>
      </c>
      <c r="Y185">
        <f t="shared" si="33"/>
        <v>418.9</v>
      </c>
      <c r="Z185">
        <f t="shared" si="33"/>
        <v>381.4</v>
      </c>
      <c r="AA185">
        <f t="shared" si="33"/>
        <v>350.1</v>
      </c>
      <c r="AB185">
        <f t="shared" si="33"/>
        <v>262.39999999999998</v>
      </c>
      <c r="AC185">
        <f t="shared" si="33"/>
        <v>365.9</v>
      </c>
      <c r="AD185">
        <f t="shared" si="33"/>
        <v>353.5</v>
      </c>
      <c r="AE185">
        <f t="shared" si="33"/>
        <v>373.5</v>
      </c>
      <c r="AF185">
        <f t="shared" si="33"/>
        <v>366.7</v>
      </c>
      <c r="AG185">
        <f t="shared" si="33"/>
        <v>378.9</v>
      </c>
      <c r="AH185">
        <f t="shared" si="33"/>
        <v>320.2</v>
      </c>
      <c r="AI185">
        <f t="shared" si="33"/>
        <v>247.9</v>
      </c>
      <c r="AJ185">
        <f t="shared" si="33"/>
        <v>399.6</v>
      </c>
      <c r="AK185">
        <f t="shared" si="33"/>
        <v>273.7</v>
      </c>
      <c r="AL185">
        <f t="shared" si="33"/>
        <v>238.2</v>
      </c>
      <c r="AM185">
        <f t="shared" si="33"/>
        <v>354.29999999999995</v>
      </c>
      <c r="AN185">
        <f t="shared" si="33"/>
        <v>321.2</v>
      </c>
      <c r="AO185">
        <f t="shared" si="33"/>
        <v>0</v>
      </c>
      <c r="AP185">
        <f t="shared" si="33"/>
        <v>0</v>
      </c>
    </row>
    <row r="187" spans="1:42">
      <c r="B187" s="236" t="s">
        <v>40</v>
      </c>
      <c r="C187" s="236"/>
      <c r="D187" s="236"/>
    </row>
    <row r="188" spans="1:42">
      <c r="A188" s="104" cm="1">
        <f t="array" ref="A188:AN188">INDEX(INDICES,MATCH(EDATE(DATE4,-11),'INDICES PRIX'!A:A,0),)</f>
        <v>45717</v>
      </c>
      <c r="B188" s="43">
        <v>124.5</v>
      </c>
      <c r="C188" s="43">
        <v>137.6</v>
      </c>
      <c r="D188" s="43">
        <v>135.19999999999999</v>
      </c>
      <c r="E188" s="43">
        <v>145.69999999999999</v>
      </c>
      <c r="F188" s="43">
        <v>101.29</v>
      </c>
      <c r="G188" s="43">
        <v>118.5</v>
      </c>
      <c r="H188" s="43">
        <v>123.5</v>
      </c>
      <c r="I188" s="43">
        <v>155.5</v>
      </c>
      <c r="J188" s="43">
        <v>114.6</v>
      </c>
      <c r="K188" s="43">
        <v>133.53</v>
      </c>
      <c r="L188" s="43">
        <v>101.2</v>
      </c>
      <c r="M188" s="43">
        <v>111</v>
      </c>
      <c r="N188" s="43">
        <v>130.1</v>
      </c>
      <c r="O188" s="43">
        <v>88.3</v>
      </c>
      <c r="P188" s="43">
        <v>116.3</v>
      </c>
      <c r="Q188" s="43">
        <v>106.9</v>
      </c>
      <c r="R188" s="43">
        <v>143.9</v>
      </c>
      <c r="S188" s="43">
        <v>113.5</v>
      </c>
      <c r="T188" s="43">
        <v>92.3</v>
      </c>
      <c r="U188" s="43">
        <v>128.9</v>
      </c>
      <c r="V188" s="43">
        <v>130.9</v>
      </c>
      <c r="W188" s="43">
        <v>113.9</v>
      </c>
      <c r="X188" s="43">
        <v>130.30000000000001</v>
      </c>
      <c r="Y188" s="43">
        <v>138.9</v>
      </c>
      <c r="Z188" s="43">
        <v>128.9</v>
      </c>
      <c r="AA188" s="43">
        <v>115</v>
      </c>
      <c r="AB188" s="43">
        <v>95</v>
      </c>
      <c r="AC188" s="43">
        <v>121.1</v>
      </c>
      <c r="AD188" s="43">
        <v>118.7</v>
      </c>
      <c r="AE188" s="43">
        <v>127.8</v>
      </c>
      <c r="AF188" s="43">
        <v>116.6</v>
      </c>
      <c r="AG188" s="43">
        <v>117.1</v>
      </c>
      <c r="AH188" s="43">
        <v>108.5</v>
      </c>
      <c r="AI188" s="43">
        <v>85.7</v>
      </c>
      <c r="AJ188" s="43">
        <v>136.1</v>
      </c>
      <c r="AK188" s="43">
        <v>94</v>
      </c>
      <c r="AL188" s="43">
        <v>82.2</v>
      </c>
      <c r="AM188" s="43">
        <v>118.4</v>
      </c>
      <c r="AN188" s="43">
        <v>110.9</v>
      </c>
      <c r="AO188" s="43"/>
      <c r="AP188" s="7"/>
    </row>
    <row r="189" spans="1:42">
      <c r="A189" s="106" cm="1">
        <f t="array" ref="A189:AN189">INDEX(INDICES,MATCH(EDATE(A188,1),'INDICES PRIX'!A:A,0),)</f>
        <v>45748</v>
      </c>
      <c r="B189">
        <v>126.2</v>
      </c>
      <c r="C189">
        <v>138</v>
      </c>
      <c r="D189">
        <v>135.4</v>
      </c>
      <c r="E189">
        <v>141</v>
      </c>
      <c r="F189">
        <v>97.24</v>
      </c>
      <c r="G189">
        <v>119.4</v>
      </c>
      <c r="H189">
        <v>125.5</v>
      </c>
      <c r="I189">
        <v>135.1</v>
      </c>
      <c r="J189">
        <v>93</v>
      </c>
      <c r="K189">
        <v>124.17</v>
      </c>
      <c r="L189">
        <v>100.9</v>
      </c>
      <c r="M189">
        <v>110.9</v>
      </c>
      <c r="N189">
        <v>131.5</v>
      </c>
      <c r="O189">
        <v>89.1</v>
      </c>
      <c r="P189">
        <v>116.9</v>
      </c>
      <c r="Q189">
        <v>107.4</v>
      </c>
      <c r="R189">
        <v>145.80000000000001</v>
      </c>
      <c r="S189">
        <v>114.6</v>
      </c>
      <c r="T189">
        <v>92.3</v>
      </c>
      <c r="U189">
        <v>124.6</v>
      </c>
      <c r="V189">
        <v>130.5</v>
      </c>
      <c r="W189">
        <v>114</v>
      </c>
      <c r="X189">
        <v>128.5</v>
      </c>
      <c r="Y189">
        <v>139.30000000000001</v>
      </c>
      <c r="Z189">
        <v>129.1</v>
      </c>
      <c r="AA189">
        <v>116.2</v>
      </c>
      <c r="AB189">
        <v>93.8</v>
      </c>
      <c r="AC189">
        <v>120.7</v>
      </c>
      <c r="AD189">
        <v>118.5</v>
      </c>
      <c r="AE189">
        <v>129.1</v>
      </c>
      <c r="AF189">
        <v>116.9</v>
      </c>
      <c r="AG189">
        <v>117</v>
      </c>
      <c r="AH189">
        <v>106.3</v>
      </c>
      <c r="AI189">
        <v>84.7</v>
      </c>
      <c r="AJ189">
        <v>135.1</v>
      </c>
      <c r="AK189">
        <v>95.1</v>
      </c>
      <c r="AL189">
        <v>82.2</v>
      </c>
      <c r="AM189">
        <v>118.1</v>
      </c>
      <c r="AN189">
        <v>111</v>
      </c>
      <c r="AP189" s="107"/>
    </row>
    <row r="190" spans="1:42">
      <c r="A190" s="106" cm="1">
        <f t="array" ref="A190:AN190">INDEX(INDICES,MATCH(EDATE(A189,1),'INDICES PRIX'!A:A,0),)</f>
        <v>45778</v>
      </c>
      <c r="B190">
        <v>126.4</v>
      </c>
      <c r="C190">
        <v>138.4</v>
      </c>
      <c r="D190">
        <v>135.6</v>
      </c>
      <c r="E190">
        <v>140</v>
      </c>
      <c r="F190">
        <v>95.45</v>
      </c>
      <c r="G190">
        <v>118.1</v>
      </c>
      <c r="H190">
        <v>125.5</v>
      </c>
      <c r="I190">
        <v>113.3</v>
      </c>
      <c r="J190">
        <v>84.1</v>
      </c>
      <c r="K190">
        <v>120.39</v>
      </c>
      <c r="L190">
        <v>101.6</v>
      </c>
      <c r="M190">
        <v>113.3</v>
      </c>
      <c r="N190">
        <v>131.69999999999999</v>
      </c>
      <c r="O190">
        <v>89.6</v>
      </c>
      <c r="P190">
        <v>116.2</v>
      </c>
      <c r="Q190">
        <v>108.2</v>
      </c>
      <c r="R190">
        <v>145.6</v>
      </c>
      <c r="S190">
        <v>111.1</v>
      </c>
      <c r="T190">
        <v>93.2</v>
      </c>
      <c r="U190">
        <v>116.6</v>
      </c>
      <c r="V190">
        <v>129.80000000000001</v>
      </c>
      <c r="W190">
        <v>114.7</v>
      </c>
      <c r="X190">
        <v>130.6</v>
      </c>
      <c r="Y190">
        <v>140</v>
      </c>
      <c r="Z190">
        <v>130.30000000000001</v>
      </c>
      <c r="AA190">
        <v>115.9</v>
      </c>
      <c r="AB190">
        <v>93.2</v>
      </c>
      <c r="AC190">
        <v>121</v>
      </c>
      <c r="AD190">
        <v>119</v>
      </c>
      <c r="AE190">
        <v>128.6</v>
      </c>
      <c r="AF190">
        <v>119.7</v>
      </c>
      <c r="AG190">
        <v>121.8</v>
      </c>
      <c r="AH190">
        <v>107.4</v>
      </c>
      <c r="AI190">
        <v>84.3</v>
      </c>
      <c r="AJ190">
        <v>135.9</v>
      </c>
      <c r="AK190">
        <v>94.4</v>
      </c>
      <c r="AL190">
        <v>83.1</v>
      </c>
      <c r="AM190">
        <v>118.7</v>
      </c>
      <c r="AN190">
        <v>109.9</v>
      </c>
      <c r="AP190" s="107"/>
    </row>
    <row r="191" spans="1:42">
      <c r="A191" s="106" cm="1">
        <f t="array" ref="A191:AN191">INDEX(INDICES,MATCH(EDATE(A190,1),'INDICES PRIX'!A:A,0),)</f>
        <v>45809</v>
      </c>
      <c r="B191">
        <v>126</v>
      </c>
      <c r="C191">
        <v>138.69999999999999</v>
      </c>
      <c r="D191">
        <v>135.80000000000001</v>
      </c>
      <c r="E191">
        <v>143.9</v>
      </c>
      <c r="F191">
        <v>98.01</v>
      </c>
      <c r="G191">
        <v>119.2</v>
      </c>
      <c r="H191">
        <v>125.5</v>
      </c>
      <c r="I191">
        <v>96.2</v>
      </c>
      <c r="J191">
        <v>86.2</v>
      </c>
      <c r="K191">
        <v>127.85</v>
      </c>
      <c r="L191">
        <v>103.6</v>
      </c>
      <c r="M191">
        <v>113.4</v>
      </c>
      <c r="N191">
        <v>130.69999999999999</v>
      </c>
      <c r="O191">
        <v>89.4</v>
      </c>
      <c r="P191">
        <v>115.2</v>
      </c>
      <c r="Q191">
        <v>107.7</v>
      </c>
      <c r="R191">
        <v>145.4</v>
      </c>
      <c r="S191">
        <v>110.9</v>
      </c>
      <c r="T191">
        <v>93.4</v>
      </c>
      <c r="U191">
        <v>115.4</v>
      </c>
      <c r="V191">
        <v>130.30000000000001</v>
      </c>
      <c r="W191">
        <v>114.5</v>
      </c>
      <c r="X191">
        <v>129.80000000000001</v>
      </c>
      <c r="Y191">
        <v>140.19999999999999</v>
      </c>
      <c r="Z191">
        <v>129.69999999999999</v>
      </c>
      <c r="AA191">
        <v>116.4</v>
      </c>
      <c r="AB191">
        <v>93</v>
      </c>
      <c r="AC191">
        <v>120.7</v>
      </c>
      <c r="AD191">
        <v>119.1</v>
      </c>
      <c r="AE191">
        <v>126</v>
      </c>
      <c r="AF191">
        <v>119.2</v>
      </c>
      <c r="AG191">
        <v>122.3</v>
      </c>
      <c r="AH191">
        <v>108.9</v>
      </c>
      <c r="AI191">
        <v>83.5</v>
      </c>
      <c r="AJ191">
        <v>136.30000000000001</v>
      </c>
      <c r="AK191">
        <v>94.7</v>
      </c>
      <c r="AL191">
        <v>82.5</v>
      </c>
      <c r="AM191">
        <v>118.3</v>
      </c>
      <c r="AN191">
        <v>108.9</v>
      </c>
      <c r="AP191" s="107"/>
    </row>
    <row r="192" spans="1:42">
      <c r="A192" s="106" cm="1">
        <f t="array" ref="A192:AN192">INDEX(INDICES,MATCH(EDATE(A191,1),'INDICES PRIX'!A:A,0),)</f>
        <v>45839</v>
      </c>
      <c r="B192">
        <v>125.5</v>
      </c>
      <c r="C192">
        <v>139</v>
      </c>
      <c r="D192">
        <v>136</v>
      </c>
      <c r="E192">
        <v>147.30000000000001</v>
      </c>
      <c r="F192">
        <v>100.68</v>
      </c>
      <c r="G192">
        <v>121.2</v>
      </c>
      <c r="H192">
        <v>125.3</v>
      </c>
      <c r="I192">
        <v>99.2</v>
      </c>
      <c r="J192">
        <v>86.6</v>
      </c>
      <c r="K192">
        <v>132.49710318172353</v>
      </c>
      <c r="L192">
        <v>101</v>
      </c>
      <c r="M192">
        <v>112.9</v>
      </c>
      <c r="N192">
        <v>131.30000000000001</v>
      </c>
      <c r="O192">
        <v>88.6</v>
      </c>
      <c r="P192">
        <v>115.2</v>
      </c>
      <c r="Q192">
        <v>107</v>
      </c>
      <c r="R192">
        <v>144</v>
      </c>
      <c r="S192">
        <v>108.8</v>
      </c>
      <c r="T192">
        <v>92.7</v>
      </c>
      <c r="U192">
        <v>118.8</v>
      </c>
      <c r="V192">
        <v>132.19999999999999</v>
      </c>
      <c r="W192">
        <v>113.9</v>
      </c>
      <c r="X192">
        <v>129.30000000000001</v>
      </c>
      <c r="Y192">
        <v>138.9</v>
      </c>
      <c r="Z192">
        <v>129.9</v>
      </c>
      <c r="AA192">
        <v>116.5</v>
      </c>
      <c r="AB192">
        <v>90.4</v>
      </c>
      <c r="AC192">
        <v>121</v>
      </c>
      <c r="AD192">
        <v>119.7</v>
      </c>
      <c r="AE192">
        <v>125.5</v>
      </c>
      <c r="AF192">
        <v>121.5</v>
      </c>
      <c r="AG192">
        <v>124.8</v>
      </c>
      <c r="AH192">
        <v>107.6</v>
      </c>
      <c r="AI192">
        <v>82.4</v>
      </c>
      <c r="AJ192">
        <v>137.80000000000001</v>
      </c>
      <c r="AK192">
        <v>94.6</v>
      </c>
      <c r="AL192">
        <v>82.1</v>
      </c>
      <c r="AM192">
        <v>118.1</v>
      </c>
      <c r="AN192">
        <v>108.3</v>
      </c>
      <c r="AP192" s="107"/>
    </row>
    <row r="193" spans="1:42">
      <c r="A193" s="106" cm="1">
        <f t="array" ref="A193:AN193">INDEX(INDICES,MATCH(EDATE(A192,1),'INDICES PRIX'!A:A,0),)</f>
        <v>45870</v>
      </c>
      <c r="B193">
        <v>128.4</v>
      </c>
      <c r="C193">
        <v>139.30000000000001</v>
      </c>
      <c r="D193">
        <v>136.30000000000001</v>
      </c>
      <c r="E193">
        <v>143.30000000000001</v>
      </c>
      <c r="F193">
        <v>98.92</v>
      </c>
      <c r="G193">
        <v>121</v>
      </c>
      <c r="H193">
        <v>125.3</v>
      </c>
      <c r="I193">
        <v>106.4</v>
      </c>
      <c r="J193">
        <v>80.7</v>
      </c>
      <c r="K193">
        <v>128.22471866649806</v>
      </c>
      <c r="L193">
        <v>101.8</v>
      </c>
      <c r="M193">
        <v>112.9</v>
      </c>
      <c r="N193">
        <v>132.69999999999999</v>
      </c>
      <c r="O193">
        <v>87.8</v>
      </c>
      <c r="P193">
        <v>116.8</v>
      </c>
      <c r="Q193">
        <v>107.3</v>
      </c>
      <c r="R193">
        <v>143</v>
      </c>
      <c r="S193">
        <v>109.6</v>
      </c>
      <c r="T193">
        <v>91.4</v>
      </c>
      <c r="U193">
        <v>114</v>
      </c>
      <c r="V193">
        <v>133.6</v>
      </c>
      <c r="W193">
        <v>114.9</v>
      </c>
      <c r="X193">
        <v>129.4</v>
      </c>
      <c r="Y193">
        <v>140.30000000000001</v>
      </c>
      <c r="Z193">
        <v>129.30000000000001</v>
      </c>
      <c r="AA193">
        <v>116.9</v>
      </c>
      <c r="AB193">
        <v>88.7</v>
      </c>
      <c r="AC193">
        <v>121.3</v>
      </c>
      <c r="AD193">
        <v>119.9</v>
      </c>
      <c r="AE193">
        <v>125.7</v>
      </c>
      <c r="AF193">
        <v>120.4</v>
      </c>
      <c r="AG193">
        <v>124.9</v>
      </c>
      <c r="AH193">
        <v>106.3</v>
      </c>
      <c r="AI193">
        <v>82.4</v>
      </c>
      <c r="AJ193">
        <v>137.9</v>
      </c>
      <c r="AK193">
        <v>92.1</v>
      </c>
      <c r="AL193">
        <v>79</v>
      </c>
      <c r="AM193">
        <v>118.8</v>
      </c>
      <c r="AN193">
        <v>108.2</v>
      </c>
      <c r="AP193" s="107"/>
    </row>
    <row r="194" spans="1:42">
      <c r="A194" s="106" cm="1">
        <f t="array" ref="A194:AN194">INDEX(INDICES,MATCH(EDATE(A193,1),'INDICES PRIX'!A:A,0),)</f>
        <v>45901</v>
      </c>
      <c r="B194">
        <v>126.8</v>
      </c>
      <c r="C194">
        <v>139.69999999999999</v>
      </c>
      <c r="D194">
        <v>136.5</v>
      </c>
      <c r="E194">
        <v>145.1</v>
      </c>
      <c r="F194">
        <v>99.17</v>
      </c>
      <c r="G194">
        <v>118.1</v>
      </c>
      <c r="H194">
        <v>125.3</v>
      </c>
      <c r="I194">
        <v>107.4</v>
      </c>
      <c r="J194">
        <v>78.7</v>
      </c>
      <c r="K194">
        <v>129.37702154404852</v>
      </c>
      <c r="L194">
        <v>101.9</v>
      </c>
      <c r="M194">
        <v>112.9</v>
      </c>
      <c r="N194">
        <v>131.30000000000001</v>
      </c>
      <c r="O194">
        <v>87.7</v>
      </c>
      <c r="P194">
        <v>115.8</v>
      </c>
      <c r="Q194">
        <v>106.2</v>
      </c>
      <c r="R194">
        <v>143.6</v>
      </c>
      <c r="S194">
        <v>106.9</v>
      </c>
      <c r="T194">
        <v>90.7</v>
      </c>
      <c r="U194">
        <v>109.8</v>
      </c>
      <c r="V194">
        <v>130.69999999999999</v>
      </c>
      <c r="W194">
        <v>114.1</v>
      </c>
      <c r="X194">
        <v>129.1</v>
      </c>
      <c r="Y194">
        <v>140.4</v>
      </c>
      <c r="Z194">
        <v>127</v>
      </c>
      <c r="AA194">
        <v>116.9</v>
      </c>
      <c r="AB194">
        <v>88</v>
      </c>
      <c r="AC194">
        <v>121.4</v>
      </c>
      <c r="AD194">
        <v>118.3</v>
      </c>
      <c r="AE194">
        <v>124.1</v>
      </c>
      <c r="AF194">
        <v>122.2</v>
      </c>
      <c r="AG194">
        <v>128.19999999999999</v>
      </c>
      <c r="AH194">
        <v>107.6</v>
      </c>
      <c r="AI194">
        <v>82.4</v>
      </c>
      <c r="AJ194">
        <v>134.69999999999999</v>
      </c>
      <c r="AK194">
        <v>92.1</v>
      </c>
      <c r="AL194">
        <v>80.099999999999994</v>
      </c>
      <c r="AM194">
        <v>118.5</v>
      </c>
      <c r="AN194">
        <v>107.1</v>
      </c>
      <c r="AP194" s="107"/>
    </row>
    <row r="195" spans="1:42">
      <c r="A195" s="106" cm="1">
        <f t="array" ref="A195:AN195">INDEX(INDICES,MATCH(EDATE(A194,1),'INDICES PRIX'!A:A,0),)</f>
        <v>45931</v>
      </c>
      <c r="B195">
        <v>126.7</v>
      </c>
      <c r="C195">
        <v>140.4</v>
      </c>
      <c r="D195">
        <v>136.80000000000001</v>
      </c>
      <c r="E195">
        <v>143.4</v>
      </c>
      <c r="F195">
        <v>98.62</v>
      </c>
      <c r="G195">
        <v>119.5</v>
      </c>
      <c r="H195">
        <v>125.4</v>
      </c>
      <c r="I195">
        <v>109.5</v>
      </c>
      <c r="J195">
        <v>77.599999999999994</v>
      </c>
      <c r="K195">
        <v>128.47290697858585</v>
      </c>
      <c r="L195">
        <v>100.9</v>
      </c>
      <c r="M195">
        <v>113.8</v>
      </c>
      <c r="N195">
        <v>131.69999999999999</v>
      </c>
      <c r="O195">
        <v>86.4</v>
      </c>
      <c r="P195">
        <v>116</v>
      </c>
      <c r="Q195">
        <v>105.8</v>
      </c>
      <c r="R195">
        <v>143.30000000000001</v>
      </c>
      <c r="S195">
        <v>107</v>
      </c>
      <c r="T195">
        <v>90.4</v>
      </c>
      <c r="U195">
        <v>106.7</v>
      </c>
      <c r="V195">
        <v>132.30000000000001</v>
      </c>
      <c r="W195">
        <v>114.7</v>
      </c>
      <c r="X195">
        <v>127</v>
      </c>
      <c r="Y195">
        <v>139</v>
      </c>
      <c r="Z195">
        <v>126.5</v>
      </c>
      <c r="AA195">
        <v>116.5</v>
      </c>
      <c r="AB195">
        <v>88.3</v>
      </c>
      <c r="AC195">
        <v>121.8</v>
      </c>
      <c r="AD195">
        <v>117.7</v>
      </c>
      <c r="AE195">
        <v>123.9</v>
      </c>
      <c r="AF195">
        <v>121.3</v>
      </c>
      <c r="AG195">
        <v>123.8</v>
      </c>
      <c r="AH195">
        <v>106.5</v>
      </c>
      <c r="AI195">
        <v>82.9</v>
      </c>
      <c r="AJ195">
        <v>134.80000000000001</v>
      </c>
      <c r="AK195">
        <v>91.3</v>
      </c>
      <c r="AL195">
        <v>78.5</v>
      </c>
      <c r="AM195">
        <v>118.2</v>
      </c>
      <c r="AN195">
        <v>107</v>
      </c>
      <c r="AP195" s="107"/>
    </row>
    <row r="196" spans="1:42">
      <c r="A196" s="106" cm="1">
        <f t="array" ref="A196:AN196">INDEX(INDICES,MATCH(EDATE(A195,1),'INDICES PRIX'!A:A,0),)</f>
        <v>45962</v>
      </c>
      <c r="B196">
        <v>126.2</v>
      </c>
      <c r="C196">
        <v>141.1</v>
      </c>
      <c r="D196">
        <v>137.1</v>
      </c>
      <c r="E196">
        <v>149.6</v>
      </c>
      <c r="F196">
        <v>102.87</v>
      </c>
      <c r="G196">
        <v>118.2</v>
      </c>
      <c r="H196">
        <v>125.4</v>
      </c>
      <c r="I196">
        <v>123.6</v>
      </c>
      <c r="J196">
        <v>75.7</v>
      </c>
      <c r="K196">
        <v>139.23364308124926</v>
      </c>
      <c r="L196">
        <v>100.7</v>
      </c>
      <c r="M196">
        <v>113.8</v>
      </c>
      <c r="N196">
        <v>131.6</v>
      </c>
      <c r="O196">
        <v>85.7</v>
      </c>
      <c r="P196">
        <v>115.9</v>
      </c>
      <c r="Q196">
        <v>105.1</v>
      </c>
      <c r="R196">
        <v>143.9</v>
      </c>
      <c r="S196">
        <v>110</v>
      </c>
      <c r="T196">
        <v>89.8</v>
      </c>
      <c r="U196">
        <v>107</v>
      </c>
      <c r="V196">
        <v>127.8</v>
      </c>
      <c r="W196">
        <v>114.2</v>
      </c>
      <c r="X196">
        <v>128.19999999999999</v>
      </c>
      <c r="Y196">
        <v>139.5</v>
      </c>
      <c r="Z196">
        <v>127.9</v>
      </c>
      <c r="AA196">
        <v>116.7</v>
      </c>
      <c r="AB196">
        <v>86.1</v>
      </c>
      <c r="AC196">
        <v>122.7</v>
      </c>
      <c r="AD196">
        <v>117.5</v>
      </c>
      <c r="AE196">
        <v>125.5</v>
      </c>
      <c r="AF196">
        <v>123.2</v>
      </c>
      <c r="AG196">
        <v>126.9</v>
      </c>
      <c r="AH196">
        <v>106.1</v>
      </c>
      <c r="AI196">
        <v>82.6</v>
      </c>
      <c r="AJ196">
        <v>130.1</v>
      </c>
      <c r="AK196">
        <v>90.3</v>
      </c>
      <c r="AL196">
        <v>79.599999999999994</v>
      </c>
      <c r="AM196">
        <v>117.6</v>
      </c>
      <c r="AN196">
        <v>107.1</v>
      </c>
      <c r="AP196" s="107"/>
    </row>
    <row r="197" spans="1:42">
      <c r="A197" s="106" cm="1">
        <f t="array" ref="A197:AN197">INDEX(INDICES,MATCH(EDATE(A196,1),'INDICES PRIX'!A:A,0),)</f>
        <v>45992</v>
      </c>
      <c r="B197">
        <v>125.5</v>
      </c>
      <c r="C197">
        <v>141.80000000000001</v>
      </c>
      <c r="D197">
        <v>137.4</v>
      </c>
      <c r="E197">
        <v>141.30000000000001</v>
      </c>
      <c r="F197">
        <v>98.39</v>
      </c>
      <c r="G197">
        <v>119.7</v>
      </c>
      <c r="H197">
        <v>125.4</v>
      </c>
      <c r="I197">
        <v>146.5</v>
      </c>
      <c r="J197">
        <v>74.5</v>
      </c>
      <c r="K197">
        <v>125.53</v>
      </c>
      <c r="L197">
        <v>99.8</v>
      </c>
      <c r="M197">
        <v>113.8</v>
      </c>
      <c r="N197">
        <v>131.1</v>
      </c>
      <c r="O197">
        <v>85.6</v>
      </c>
      <c r="P197">
        <v>116.6</v>
      </c>
      <c r="Q197">
        <v>104.8</v>
      </c>
      <c r="R197">
        <v>143.80000000000001</v>
      </c>
      <c r="S197">
        <v>109.5</v>
      </c>
      <c r="T197">
        <v>89.6</v>
      </c>
      <c r="U197">
        <v>101.7</v>
      </c>
      <c r="V197">
        <v>127.2</v>
      </c>
      <c r="W197">
        <v>112.1</v>
      </c>
      <c r="X197">
        <v>127.5</v>
      </c>
      <c r="Y197">
        <v>138.1</v>
      </c>
      <c r="Z197">
        <v>127.9</v>
      </c>
      <c r="AA197">
        <v>117</v>
      </c>
      <c r="AB197">
        <v>84.7</v>
      </c>
      <c r="AC197">
        <v>120</v>
      </c>
      <c r="AD197">
        <v>117.8</v>
      </c>
      <c r="AE197">
        <v>125.5</v>
      </c>
      <c r="AF197">
        <v>123.3</v>
      </c>
      <c r="AG197">
        <v>127.6</v>
      </c>
      <c r="AH197">
        <v>105.6</v>
      </c>
      <c r="AI197">
        <v>82.8</v>
      </c>
      <c r="AJ197">
        <v>132.4</v>
      </c>
      <c r="AK197">
        <v>91.2</v>
      </c>
      <c r="AL197">
        <v>81.099999999999994</v>
      </c>
      <c r="AM197">
        <v>117.6</v>
      </c>
      <c r="AN197">
        <v>108</v>
      </c>
      <c r="AP197" s="107"/>
    </row>
    <row r="198" spans="1:42">
      <c r="A198" s="106" cm="1">
        <f t="array" ref="A198:AN198">INDEX(INDICES,MATCH(EDATE(A197,1),'INDICES PRIX'!A:A,0),)</f>
        <v>46023</v>
      </c>
      <c r="B198">
        <v>127.6</v>
      </c>
      <c r="C198">
        <v>141.80000000000001</v>
      </c>
      <c r="D198">
        <v>137.69999999999999</v>
      </c>
      <c r="E198">
        <v>150.1</v>
      </c>
      <c r="F198">
        <v>100.91</v>
      </c>
      <c r="G198">
        <v>118</v>
      </c>
      <c r="H198">
        <v>125.7</v>
      </c>
      <c r="I198">
        <v>154.19999999999999</v>
      </c>
      <c r="J198">
        <v>71.400000000000006</v>
      </c>
      <c r="K198">
        <v>133.73804474216251</v>
      </c>
      <c r="L198">
        <v>100.1</v>
      </c>
      <c r="M198">
        <v>113.9</v>
      </c>
      <c r="N198">
        <v>133.80000000000001</v>
      </c>
      <c r="O198">
        <v>85.5</v>
      </c>
      <c r="P198">
        <v>116.4</v>
      </c>
      <c r="Q198">
        <v>104.2</v>
      </c>
      <c r="R198">
        <v>150.4</v>
      </c>
      <c r="S198">
        <v>112.4</v>
      </c>
      <c r="T198">
        <v>89.6</v>
      </c>
      <c r="U198">
        <v>96.9</v>
      </c>
      <c r="V198">
        <v>126.8</v>
      </c>
      <c r="W198">
        <v>115.1</v>
      </c>
      <c r="X198">
        <v>127.5</v>
      </c>
      <c r="Y198">
        <v>138.1</v>
      </c>
      <c r="Z198">
        <v>127.9</v>
      </c>
      <c r="AA198">
        <v>118.5</v>
      </c>
      <c r="AB198">
        <v>83.8</v>
      </c>
      <c r="AC198">
        <v>122.9</v>
      </c>
      <c r="AD198">
        <v>118.9</v>
      </c>
      <c r="AE198">
        <v>125.5</v>
      </c>
      <c r="AF198">
        <v>128</v>
      </c>
      <c r="AG198">
        <v>134.9</v>
      </c>
      <c r="AH198">
        <v>107.3</v>
      </c>
      <c r="AI198">
        <v>82.7</v>
      </c>
      <c r="AJ198">
        <v>131.19999999999999</v>
      </c>
      <c r="AK198">
        <v>93</v>
      </c>
      <c r="AL198">
        <v>82.7</v>
      </c>
      <c r="AM198">
        <v>118.5</v>
      </c>
      <c r="AN198">
        <v>110.3</v>
      </c>
      <c r="AP198" s="107"/>
    </row>
    <row r="199" spans="1:42">
      <c r="A199" s="108" cm="1">
        <f t="array" ref="A199:AN199">INDEX(INDICES,MATCH(EDATE(A198,1),'INDICES PRIX'!A:A,0),)</f>
        <v>46054</v>
      </c>
      <c r="B199" s="109">
        <v>125.6</v>
      </c>
      <c r="C199" s="109">
        <v>141.80000000000001</v>
      </c>
      <c r="D199" s="109">
        <v>137.69999999999999</v>
      </c>
      <c r="E199" s="109">
        <v>157.19999999999999</v>
      </c>
      <c r="F199" s="109">
        <v>103.42</v>
      </c>
      <c r="G199" s="109">
        <v>119.2</v>
      </c>
      <c r="H199" s="109">
        <v>125.7</v>
      </c>
      <c r="I199" s="109">
        <v>147.6</v>
      </c>
      <c r="J199" s="109">
        <v>80.7</v>
      </c>
      <c r="K199" s="109">
        <v>139.37546497387086</v>
      </c>
      <c r="L199" s="109">
        <v>101.1</v>
      </c>
      <c r="M199" s="109">
        <v>113.8</v>
      </c>
      <c r="N199" s="109">
        <v>133.19999999999999</v>
      </c>
      <c r="O199" s="109">
        <v>86.1</v>
      </c>
      <c r="P199" s="109">
        <v>118.3</v>
      </c>
      <c r="Q199" s="109">
        <v>103.7</v>
      </c>
      <c r="R199" s="109">
        <v>149.19999999999999</v>
      </c>
      <c r="S199" s="109">
        <v>112.3</v>
      </c>
      <c r="T199" s="109">
        <v>89.6</v>
      </c>
      <c r="U199" s="109">
        <v>100.5</v>
      </c>
      <c r="V199" s="109">
        <v>128.5</v>
      </c>
      <c r="W199" s="109">
        <v>114.1</v>
      </c>
      <c r="X199" s="109">
        <v>129.19999999999999</v>
      </c>
      <c r="Y199" s="109">
        <v>138.1</v>
      </c>
      <c r="Z199" s="109">
        <v>127.9</v>
      </c>
      <c r="AA199" s="109">
        <v>118.5</v>
      </c>
      <c r="AB199" s="109">
        <v>84.4</v>
      </c>
      <c r="AC199" s="109">
        <v>117.7</v>
      </c>
      <c r="AD199" s="109">
        <v>119.9</v>
      </c>
      <c r="AE199" s="109">
        <v>125.5</v>
      </c>
      <c r="AF199" s="109">
        <v>128.9</v>
      </c>
      <c r="AG199" s="109">
        <v>136.80000000000001</v>
      </c>
      <c r="AH199" s="109">
        <v>104.4</v>
      </c>
      <c r="AI199" s="109">
        <v>82.6</v>
      </c>
      <c r="AJ199" s="109">
        <v>130.80000000000001</v>
      </c>
      <c r="AK199" s="109">
        <v>94.6</v>
      </c>
      <c r="AL199" s="109">
        <v>84.2</v>
      </c>
      <c r="AM199" s="109">
        <v>118.5</v>
      </c>
      <c r="AN199" s="109">
        <v>111.4</v>
      </c>
      <c r="AO199" s="109"/>
      <c r="AP199" s="110"/>
    </row>
    <row r="200" spans="1:42">
      <c r="A200" s="95" t="s">
        <v>201</v>
      </c>
      <c r="B200">
        <f>SUM(B194:B199)</f>
        <v>758.4</v>
      </c>
      <c r="C200">
        <f t="shared" ref="C200:AP200" si="34">SUM(C194:C199)</f>
        <v>846.59999999999991</v>
      </c>
      <c r="D200">
        <f t="shared" si="34"/>
        <v>823.2</v>
      </c>
      <c r="E200">
        <f t="shared" si="34"/>
        <v>886.7</v>
      </c>
      <c r="F200">
        <f t="shared" si="34"/>
        <v>603.38</v>
      </c>
      <c r="G200">
        <f t="shared" si="34"/>
        <v>712.7</v>
      </c>
      <c r="H200">
        <f t="shared" si="34"/>
        <v>752.90000000000009</v>
      </c>
      <c r="I200">
        <f t="shared" si="34"/>
        <v>788.80000000000007</v>
      </c>
      <c r="J200">
        <f t="shared" si="34"/>
        <v>458.59999999999997</v>
      </c>
      <c r="K200">
        <f t="shared" si="34"/>
        <v>795.72708131991703</v>
      </c>
      <c r="L200">
        <f t="shared" si="34"/>
        <v>604.5</v>
      </c>
      <c r="M200">
        <f t="shared" si="34"/>
        <v>682</v>
      </c>
      <c r="N200">
        <f t="shared" si="34"/>
        <v>792.7</v>
      </c>
      <c r="O200">
        <f t="shared" si="34"/>
        <v>517</v>
      </c>
      <c r="P200">
        <f t="shared" si="34"/>
        <v>699</v>
      </c>
      <c r="Q200">
        <f t="shared" si="34"/>
        <v>629.80000000000007</v>
      </c>
      <c r="R200">
        <f t="shared" si="34"/>
        <v>874.19999999999982</v>
      </c>
      <c r="S200">
        <f t="shared" si="34"/>
        <v>658.09999999999991</v>
      </c>
      <c r="T200">
        <f t="shared" si="34"/>
        <v>539.70000000000005</v>
      </c>
      <c r="U200">
        <f t="shared" si="34"/>
        <v>622.6</v>
      </c>
      <c r="V200">
        <f t="shared" si="34"/>
        <v>773.3</v>
      </c>
      <c r="W200">
        <f t="shared" si="34"/>
        <v>684.30000000000007</v>
      </c>
      <c r="X200">
        <f t="shared" si="34"/>
        <v>768.5</v>
      </c>
      <c r="Y200">
        <f t="shared" si="34"/>
        <v>833.2</v>
      </c>
      <c r="Z200">
        <f t="shared" si="34"/>
        <v>765.09999999999991</v>
      </c>
      <c r="AA200">
        <f t="shared" si="34"/>
        <v>704.1</v>
      </c>
      <c r="AB200">
        <f t="shared" si="34"/>
        <v>515.29999999999995</v>
      </c>
      <c r="AC200">
        <f t="shared" si="34"/>
        <v>726.5</v>
      </c>
      <c r="AD200">
        <f t="shared" si="34"/>
        <v>710.1</v>
      </c>
      <c r="AE200">
        <f t="shared" si="34"/>
        <v>750</v>
      </c>
      <c r="AF200">
        <f t="shared" si="34"/>
        <v>746.9</v>
      </c>
      <c r="AG200">
        <f t="shared" si="34"/>
        <v>778.2</v>
      </c>
      <c r="AH200">
        <f t="shared" si="34"/>
        <v>637.49999999999989</v>
      </c>
      <c r="AI200">
        <f t="shared" si="34"/>
        <v>496</v>
      </c>
      <c r="AJ200">
        <f t="shared" si="34"/>
        <v>794</v>
      </c>
      <c r="AK200">
        <f t="shared" si="34"/>
        <v>552.5</v>
      </c>
      <c r="AL200">
        <f t="shared" si="34"/>
        <v>486.19999999999993</v>
      </c>
      <c r="AM200">
        <f t="shared" si="34"/>
        <v>708.9</v>
      </c>
      <c r="AN200">
        <f t="shared" si="34"/>
        <v>650.9</v>
      </c>
      <c r="AO200">
        <f t="shared" si="34"/>
        <v>0</v>
      </c>
      <c r="AP200">
        <f t="shared" si="34"/>
        <v>0</v>
      </c>
    </row>
    <row r="201" spans="1:42">
      <c r="A201" s="95" t="s">
        <v>202</v>
      </c>
      <c r="B201">
        <f>SUM(B188:B193)</f>
        <v>757</v>
      </c>
      <c r="C201">
        <f t="shared" ref="C201:AP201" si="35">SUM(C188:C193)</f>
        <v>831</v>
      </c>
      <c r="D201">
        <f t="shared" si="35"/>
        <v>814.3</v>
      </c>
      <c r="E201">
        <f t="shared" si="35"/>
        <v>861.2</v>
      </c>
      <c r="F201">
        <f t="shared" si="35"/>
        <v>591.59</v>
      </c>
      <c r="G201">
        <f t="shared" si="35"/>
        <v>717.4</v>
      </c>
      <c r="H201">
        <f t="shared" si="35"/>
        <v>750.59999999999991</v>
      </c>
      <c r="I201">
        <f t="shared" si="35"/>
        <v>705.7</v>
      </c>
      <c r="J201">
        <f t="shared" si="35"/>
        <v>545.20000000000005</v>
      </c>
      <c r="K201">
        <f t="shared" si="35"/>
        <v>766.66182184822151</v>
      </c>
      <c r="L201">
        <f t="shared" si="35"/>
        <v>610.1</v>
      </c>
      <c r="M201">
        <f t="shared" si="35"/>
        <v>674.4</v>
      </c>
      <c r="N201">
        <f t="shared" si="35"/>
        <v>788</v>
      </c>
      <c r="O201">
        <f t="shared" si="35"/>
        <v>532.79999999999995</v>
      </c>
      <c r="P201">
        <f t="shared" si="35"/>
        <v>696.59999999999991</v>
      </c>
      <c r="Q201">
        <f t="shared" si="35"/>
        <v>644.5</v>
      </c>
      <c r="R201">
        <f t="shared" si="35"/>
        <v>867.7</v>
      </c>
      <c r="S201">
        <f t="shared" si="35"/>
        <v>668.5</v>
      </c>
      <c r="T201">
        <f t="shared" si="35"/>
        <v>555.30000000000007</v>
      </c>
      <c r="U201">
        <f t="shared" si="35"/>
        <v>718.3</v>
      </c>
      <c r="V201">
        <f t="shared" si="35"/>
        <v>787.30000000000007</v>
      </c>
      <c r="W201">
        <f t="shared" si="35"/>
        <v>685.9</v>
      </c>
      <c r="X201">
        <f t="shared" si="35"/>
        <v>777.9</v>
      </c>
      <c r="Y201">
        <f t="shared" si="35"/>
        <v>837.60000000000014</v>
      </c>
      <c r="Z201">
        <f t="shared" si="35"/>
        <v>777.2</v>
      </c>
      <c r="AA201">
        <f t="shared" si="35"/>
        <v>696.9</v>
      </c>
      <c r="AB201">
        <f t="shared" si="35"/>
        <v>554.1</v>
      </c>
      <c r="AC201">
        <f t="shared" si="35"/>
        <v>725.8</v>
      </c>
      <c r="AD201">
        <f t="shared" si="35"/>
        <v>714.9</v>
      </c>
      <c r="AE201">
        <f t="shared" si="35"/>
        <v>762.7</v>
      </c>
      <c r="AF201">
        <f t="shared" si="35"/>
        <v>714.3</v>
      </c>
      <c r="AG201">
        <f t="shared" si="35"/>
        <v>727.9</v>
      </c>
      <c r="AH201">
        <f t="shared" si="35"/>
        <v>645</v>
      </c>
      <c r="AI201">
        <f t="shared" si="35"/>
        <v>503</v>
      </c>
      <c r="AJ201">
        <f t="shared" si="35"/>
        <v>819.1</v>
      </c>
      <c r="AK201">
        <f t="shared" si="35"/>
        <v>564.9</v>
      </c>
      <c r="AL201">
        <f t="shared" si="35"/>
        <v>491.1</v>
      </c>
      <c r="AM201">
        <f t="shared" si="35"/>
        <v>710.4</v>
      </c>
      <c r="AN201">
        <f t="shared" si="35"/>
        <v>657.2</v>
      </c>
      <c r="AO201">
        <f t="shared" si="35"/>
        <v>0</v>
      </c>
      <c r="AP201">
        <f t="shared" si="35"/>
        <v>0</v>
      </c>
    </row>
    <row r="203" spans="1:42" ht="18.75">
      <c r="B203" s="230" t="s">
        <v>180</v>
      </c>
      <c r="C203" s="230"/>
      <c r="D203" s="230"/>
      <c r="E203" s="230"/>
    </row>
    <row r="204" spans="1:42">
      <c r="A204" s="95" cm="1">
        <f t="array" ref="A204:AN204">INDEX(INDICES,MATCH(DATE1,'INDICES PRIX'!A:A,0),)</f>
        <v>43101</v>
      </c>
      <c r="B204">
        <v>104.1</v>
      </c>
      <c r="C204">
        <v>117.8</v>
      </c>
      <c r="D204">
        <v>115.1</v>
      </c>
      <c r="E204">
        <v>102.68819713409906</v>
      </c>
      <c r="F204">
        <v>86.75</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46054</v>
      </c>
      <c r="B205">
        <v>125.6</v>
      </c>
      <c r="C205">
        <v>141.80000000000001</v>
      </c>
      <c r="D205">
        <v>137.69999999999999</v>
      </c>
      <c r="E205">
        <v>157.19999999999999</v>
      </c>
      <c r="F205">
        <v>103.42</v>
      </c>
      <c r="G205">
        <v>119.2</v>
      </c>
      <c r="H205">
        <v>125.7</v>
      </c>
      <c r="I205">
        <v>147.6</v>
      </c>
      <c r="J205">
        <v>80.7</v>
      </c>
      <c r="K205">
        <v>139.37546497387086</v>
      </c>
      <c r="L205">
        <v>101.1</v>
      </c>
      <c r="M205">
        <v>113.8</v>
      </c>
      <c r="N205">
        <v>133.19999999999999</v>
      </c>
      <c r="O205">
        <v>86.1</v>
      </c>
      <c r="P205">
        <v>118.3</v>
      </c>
      <c r="Q205">
        <v>103.7</v>
      </c>
      <c r="R205">
        <v>149.19999999999999</v>
      </c>
      <c r="S205">
        <v>112.3</v>
      </c>
      <c r="T205">
        <v>89.6</v>
      </c>
      <c r="U205">
        <v>100.5</v>
      </c>
      <c r="V205">
        <v>128.5</v>
      </c>
      <c r="W205">
        <v>114.1</v>
      </c>
      <c r="X205">
        <v>129.19999999999999</v>
      </c>
      <c r="Y205">
        <v>138.1</v>
      </c>
      <c r="Z205">
        <v>127.9</v>
      </c>
      <c r="AA205">
        <v>118.5</v>
      </c>
      <c r="AB205">
        <v>84.4</v>
      </c>
      <c r="AC205">
        <v>117.7</v>
      </c>
      <c r="AD205">
        <v>119.9</v>
      </c>
      <c r="AE205">
        <v>125.5</v>
      </c>
      <c r="AF205">
        <v>128.9</v>
      </c>
      <c r="AG205">
        <v>136.80000000000001</v>
      </c>
      <c r="AH205">
        <v>104.4</v>
      </c>
      <c r="AI205">
        <v>82.6</v>
      </c>
      <c r="AJ205">
        <v>130.80000000000001</v>
      </c>
      <c r="AK205">
        <v>94.6</v>
      </c>
      <c r="AL205">
        <v>84.2</v>
      </c>
      <c r="AM205">
        <v>118.5</v>
      </c>
      <c r="AN205">
        <v>111.4</v>
      </c>
    </row>
  </sheetData>
  <sheetProtection algorithmName="SHA-512" hashValue="GTJWl7n7IB9bDk9V4nlYLjzDz7SfWGhZV0OtQ66FdccFeEkx/M5zSe2/q7Lq/e4hUMG3Ce8zLAL6H7F/RF4z6g==" saltValue="lrWjzJzogYJxvMc52LBOHQ==" spinCount="100000" sheet="1" objects="1" scenarios="1"/>
  <mergeCells count="20">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39" workbookViewId="0">
      <selection activeCell="A46" sqref="A46"/>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40" t="s">
        <v>183</v>
      </c>
      <c r="C1" s="241"/>
      <c r="D1" s="241"/>
      <c r="E1" s="241"/>
      <c r="F1" s="241"/>
      <c r="G1" s="241"/>
      <c r="H1" s="241"/>
      <c r="I1" s="241"/>
      <c r="J1" s="241"/>
      <c r="K1" s="241"/>
      <c r="L1" s="241"/>
      <c r="M1" s="241"/>
    </row>
    <row r="2" spans="1:13">
      <c r="D2" s="22"/>
      <c r="E2" s="22"/>
      <c r="F2" s="22"/>
      <c r="G2" s="22"/>
      <c r="I2" t="str" cm="1">
        <f t="array" ref="I2:I3">'A MODIFIER'!A5:A6</f>
        <v>*/2025 = Cumul janv 2026-févr 2026 / Cumul janv 2025-févr 2025</v>
      </c>
    </row>
    <row r="3" spans="1:13">
      <c r="A3" s="115"/>
      <c r="D3" s="22"/>
      <c r="E3" s="22"/>
      <c r="F3" s="22"/>
      <c r="G3" s="22"/>
      <c r="I3" t="str">
        <v>*/2024 = Cumul janv 2026-févr 2026 / Cumul janv 2024-févr 2024</v>
      </c>
    </row>
    <row r="5" spans="1:13">
      <c r="B5" s="236" t="s">
        <v>186</v>
      </c>
      <c r="C5" s="236"/>
      <c r="D5" s="236"/>
      <c r="E5" s="236"/>
      <c r="J5" s="236" t="s">
        <v>185</v>
      </c>
      <c r="K5" s="236"/>
      <c r="L5" s="236"/>
      <c r="M5" s="236"/>
    </row>
    <row r="6" spans="1:13">
      <c r="D6" t="str">
        <f>'A MODIFIER'!A10</f>
        <v>*/2025</v>
      </c>
      <c r="E6" t="str">
        <f>'A MODIFIER'!A9</f>
        <v>*/2024</v>
      </c>
      <c r="L6" t="str">
        <f>'A MODIFIER'!A10</f>
        <v>*/2025</v>
      </c>
      <c r="M6" t="str">
        <f>'A MODIFIER'!A9</f>
        <v>*/2024</v>
      </c>
    </row>
    <row r="7" spans="1:13">
      <c r="A7" s="116" t="s">
        <v>203</v>
      </c>
      <c r="B7" t="s">
        <v>19</v>
      </c>
      <c r="C7" t="s">
        <v>0</v>
      </c>
      <c r="D7" s="20" cm="1">
        <f t="array" ref="D7:D30">TRANSPOSE(D36:AA36)</f>
        <v>-1.8932222642937813E-3</v>
      </c>
      <c r="E7" s="20" cm="1">
        <f t="array" ref="E7:E30">TRANSPOSE(D37:AA37)</f>
        <v>1.579961464354529E-2</v>
      </c>
      <c r="I7" t="str" cm="1">
        <f t="array" ref="I7:M30">_xlfn._xlws.SORT(A7:E30,4,-1,FALSE)</f>
        <v>https://www.insee.fr/fr/statistiques/serie/001711002</v>
      </c>
      <c r="J7" t="str">
        <v>TP12a</v>
      </c>
      <c r="K7" t="str">
        <v>Réseaux d'énergie et de communication</v>
      </c>
      <c r="L7" s="21">
        <v>3.3962264150943389E-2</v>
      </c>
      <c r="M7" s="21">
        <v>5.3440984236831968E-2</v>
      </c>
    </row>
    <row r="8" spans="1:13">
      <c r="A8" s="116" t="s">
        <v>204</v>
      </c>
      <c r="B8" t="s">
        <v>20</v>
      </c>
      <c r="C8" t="s">
        <v>1</v>
      </c>
      <c r="D8" s="20">
        <v>1.8141429100333228E-2</v>
      </c>
      <c r="E8" s="4">
        <v>2.7653213751868355E-2</v>
      </c>
      <c r="I8" t="str">
        <v>https://www.insee.fr/fr/statistiques/serie/001710995</v>
      </c>
      <c r="J8" t="str">
        <v>TP07b</v>
      </c>
      <c r="K8" s="21" t="str">
        <v>Travaux de génie civil, béton et acier pour ouvrages maritimes et fluviaux</v>
      </c>
      <c r="L8" s="21">
        <v>2.9654654654654777E-2</v>
      </c>
      <c r="M8">
        <v>2.7340823970037453E-2</v>
      </c>
    </row>
    <row r="9" spans="1:13">
      <c r="A9" s="116" t="s">
        <v>205</v>
      </c>
      <c r="B9" t="s">
        <v>21</v>
      </c>
      <c r="C9" t="s">
        <v>2</v>
      </c>
      <c r="D9" s="20">
        <v>1.4992503748125774E-2</v>
      </c>
      <c r="E9" s="4">
        <v>3.1226199543030964E-2</v>
      </c>
      <c r="I9" t="str">
        <v>https://www.insee.fr/fr/statistiques/serie/001710999</v>
      </c>
      <c r="J9" t="str">
        <v>TP10b</v>
      </c>
      <c r="K9" s="21" t="str">
        <v>Canalisations sans fourniture de tuyaux</v>
      </c>
      <c r="L9" s="21">
        <v>2.2011385199240951E-2</v>
      </c>
      <c r="M9">
        <v>3.6566589684372763E-2</v>
      </c>
    </row>
    <row r="10" spans="1:13">
      <c r="A10" s="33" t="s">
        <v>254</v>
      </c>
      <c r="B10" t="s">
        <v>22</v>
      </c>
      <c r="C10" t="s">
        <v>3</v>
      </c>
      <c r="D10" s="20">
        <v>-4.1684035014588616E-4</v>
      </c>
      <c r="E10" s="4">
        <v>3.6300777873811585E-2</v>
      </c>
      <c r="I10" t="str">
        <v>https://www.insee.fr/fr/statistiques/serie/001711004</v>
      </c>
      <c r="J10" t="str">
        <v>TP12c</v>
      </c>
      <c r="K10" s="21" t="str">
        <v>Éclairage public - Travaux  de maintenance</v>
      </c>
      <c r="L10" s="21">
        <v>2.1044427123928289E-2</v>
      </c>
      <c r="M10">
        <v>4.2163882259347529E-2</v>
      </c>
    </row>
    <row r="11" spans="1:13">
      <c r="A11" s="116" t="s">
        <v>206</v>
      </c>
      <c r="B11" t="s">
        <v>23</v>
      </c>
      <c r="C11" t="s">
        <v>4</v>
      </c>
      <c r="D11" s="20">
        <v>1.35849056603774E-2</v>
      </c>
      <c r="E11" s="4">
        <v>1.7424242424242564E-2</v>
      </c>
      <c r="I11" t="str">
        <v>https://www.insee.fr/fr/statistiques/serie/001796841</v>
      </c>
      <c r="J11" t="str">
        <v>TP12d</v>
      </c>
      <c r="K11" s="21" t="str">
        <v>Réseaux de communication en fibre optique</v>
      </c>
      <c r="L11" s="21">
        <v>2.079999999999993E-2</v>
      </c>
      <c r="M11">
        <v>1.8355945730247347E-2</v>
      </c>
    </row>
    <row r="12" spans="1:13">
      <c r="A12" s="116" t="s">
        <v>207</v>
      </c>
      <c r="B12" t="s">
        <v>24</v>
      </c>
      <c r="C12" t="s">
        <v>5</v>
      </c>
      <c r="D12" s="20">
        <v>1.5607580824971823E-2</v>
      </c>
      <c r="E12" s="4">
        <v>2.7057497181510515E-2</v>
      </c>
      <c r="I12" t="str">
        <v>https://www.insee.fr/fr/statistiques/serie/001710987</v>
      </c>
      <c r="J12" t="str">
        <v>TP02</v>
      </c>
      <c r="K12" s="21" t="str">
        <v>Travaux de génie civil et d’ouvrages d’art neufs ou rénovation</v>
      </c>
      <c r="L12" s="21">
        <v>1.8141429100333228E-2</v>
      </c>
      <c r="M12">
        <v>2.7653213751868355E-2</v>
      </c>
    </row>
    <row r="13" spans="1:13">
      <c r="A13" s="116" t="s">
        <v>208</v>
      </c>
      <c r="B13" t="s">
        <v>25</v>
      </c>
      <c r="C13" t="s">
        <v>6</v>
      </c>
      <c r="D13" s="20">
        <v>1.2118986412045674E-2</v>
      </c>
      <c r="E13" s="4">
        <v>1.6599040944301091E-2</v>
      </c>
      <c r="I13" t="str">
        <v>https://www.insee.fr/fr/statistiques/serie/001710994</v>
      </c>
      <c r="J13" t="str">
        <v>TP06b</v>
      </c>
      <c r="K13" s="21" t="str">
        <v>Dragages fluviaux et petits dragages maritimes</v>
      </c>
      <c r="L13" s="21">
        <v>1.6337386018237199E-2</v>
      </c>
      <c r="M13">
        <v>3.9238539238539261E-2</v>
      </c>
    </row>
    <row r="14" spans="1:13">
      <c r="A14" s="116" t="s">
        <v>209</v>
      </c>
      <c r="B14" t="s">
        <v>26</v>
      </c>
      <c r="C14" t="s">
        <v>7</v>
      </c>
      <c r="D14" s="20">
        <v>5.7908070937386924E-3</v>
      </c>
      <c r="E14" s="4">
        <v>-1.4372978799856995E-3</v>
      </c>
      <c r="I14" t="str">
        <v>https://www.insee.fr/fr/statistiques/serie/001710991</v>
      </c>
      <c r="J14" t="str">
        <v>TP05a</v>
      </c>
      <c r="K14" s="21" t="str">
        <v xml:space="preserve">Travaux en souterrains traditionnels </v>
      </c>
      <c r="L14" s="21">
        <v>1.5607580824971823E-2</v>
      </c>
      <c r="M14">
        <v>2.7057497181510515E-2</v>
      </c>
    </row>
    <row r="15" spans="1:13">
      <c r="A15" s="116" t="s">
        <v>210</v>
      </c>
      <c r="B15" t="s">
        <v>27</v>
      </c>
      <c r="C15" t="s">
        <v>8</v>
      </c>
      <c r="D15" s="20">
        <v>1.6337386018237199E-2</v>
      </c>
      <c r="E15" s="4">
        <v>3.9238539238539261E-2</v>
      </c>
      <c r="I15" t="str">
        <v>https://www.insee.fr/fr/statistiques/serie/001710988</v>
      </c>
      <c r="J15" t="str">
        <v>TP03a</v>
      </c>
      <c r="K15" s="21" t="str">
        <v>Grands terrassements</v>
      </c>
      <c r="L15" s="21">
        <v>1.4992503748125774E-2</v>
      </c>
      <c r="M15">
        <v>3.1226199543030964E-2</v>
      </c>
    </row>
    <row r="16" spans="1:13">
      <c r="A16" s="116" t="s">
        <v>211</v>
      </c>
      <c r="B16" t="s">
        <v>28</v>
      </c>
      <c r="C16" t="s">
        <v>275</v>
      </c>
      <c r="D16" s="20">
        <v>2.9654654654654777E-2</v>
      </c>
      <c r="E16" s="4">
        <v>2.7340823970037453E-2</v>
      </c>
      <c r="I16" t="str">
        <v>https://www.insee.fr/fr/statistiques/serie/010777582</v>
      </c>
      <c r="J16" t="str">
        <v>TP10f</v>
      </c>
      <c r="K16" s="21" t="str">
        <v>Canalisations, assainnissement et adduction d'eau avec fourniture de tuyaux avec fourniture de tuyaux multi-matériaux</v>
      </c>
      <c r="L16" s="21">
        <v>1.4241724403387224E-2</v>
      </c>
      <c r="M16">
        <v>9.9655040245305582E-3</v>
      </c>
    </row>
    <row r="17" spans="1:13">
      <c r="A17" s="116" t="s">
        <v>212</v>
      </c>
      <c r="B17" t="s">
        <v>29</v>
      </c>
      <c r="C17" t="s">
        <v>350</v>
      </c>
      <c r="D17" s="20">
        <v>-2.5777103866565398E-2</v>
      </c>
      <c r="E17" s="4">
        <v>-7.776049766717863E-4</v>
      </c>
      <c r="I17" t="str">
        <v>https://www.insee.fr/fr/statistiques/serie/001710990</v>
      </c>
      <c r="J17" t="str">
        <v>TP04</v>
      </c>
      <c r="K17" s="21" t="str">
        <v xml:space="preserve">Fondations et travaux géotechniques </v>
      </c>
      <c r="L17" s="21">
        <v>1.35849056603774E-2</v>
      </c>
      <c r="M17">
        <v>1.7424242424242564E-2</v>
      </c>
    </row>
    <row r="18" spans="1:13">
      <c r="A18" s="116" t="s">
        <v>213</v>
      </c>
      <c r="B18" t="s">
        <v>30</v>
      </c>
      <c r="C18" t="s">
        <v>9</v>
      </c>
      <c r="D18" s="20">
        <v>-8.2191780821917693E-2</v>
      </c>
      <c r="E18" s="4">
        <v>-2.9766693483507689E-2</v>
      </c>
      <c r="I18" t="str">
        <v>https://www.insee.fr/fr/statistiques/serie/010777526</v>
      </c>
      <c r="J18" t="str">
        <v>TP13b</v>
      </c>
      <c r="K18" s="21" t="str">
        <v>Charpentes et ouvrages d'art métalliques sans fourniture des aciers</v>
      </c>
      <c r="L18" s="21">
        <v>1.3425253991291575E-2</v>
      </c>
      <c r="M18">
        <v>2.3076923076922995E-2</v>
      </c>
    </row>
    <row r="19" spans="1:13">
      <c r="A19" s="116" t="s">
        <v>214</v>
      </c>
      <c r="B19" t="s">
        <v>31</v>
      </c>
      <c r="C19" t="s">
        <v>10</v>
      </c>
      <c r="D19" s="20">
        <v>2.2011385199240951E-2</v>
      </c>
      <c r="E19" s="4">
        <v>3.6566589684372763E-2</v>
      </c>
      <c r="I19" t="str">
        <v>https://www.insee.fr/fr/statistiques/serie/010777525</v>
      </c>
      <c r="J19" t="str">
        <v>TP10e</v>
      </c>
      <c r="K19" s="21" t="str">
        <v>Canalisations, assainnissement et adduction d'eau avec fourniture de tuyaux en fonte majoritaire</v>
      </c>
      <c r="L19" s="21">
        <v>1.3219284603421366E-2</v>
      </c>
      <c r="M19">
        <v>1.8764659890539548E-2</v>
      </c>
    </row>
    <row r="20" spans="1:13">
      <c r="A20" s="116" t="s">
        <v>215</v>
      </c>
      <c r="B20" t="s">
        <v>32</v>
      </c>
      <c r="C20" t="s">
        <v>11</v>
      </c>
      <c r="D20" s="20">
        <v>-1.2213740458015265E-2</v>
      </c>
      <c r="E20" s="4">
        <v>-2.3130300693907646E-3</v>
      </c>
      <c r="I20" t="str">
        <v>https://www.insee.fr/fr/statistiques/serie/010605983</v>
      </c>
      <c r="J20" t="str">
        <v>TP10d</v>
      </c>
      <c r="K20" s="21" t="str">
        <v>Réseaux de chauffage et de froid avec fourniture de tuyaux</v>
      </c>
      <c r="L20" s="21">
        <v>1.3189448441247142E-2</v>
      </c>
      <c r="M20">
        <v>1.1976047904191711E-2</v>
      </c>
    </row>
    <row r="21" spans="1:13">
      <c r="A21" s="178" t="s">
        <v>216</v>
      </c>
      <c r="B21" t="s">
        <v>33</v>
      </c>
      <c r="C21" t="s">
        <v>12</v>
      </c>
      <c r="D21" s="20">
        <v>1.3189448441247142E-2</v>
      </c>
      <c r="E21" s="4">
        <v>1.1976047904191711E-2</v>
      </c>
      <c r="I21" t="str">
        <v>https://www.insee.fr/fr/statistiques/serie/001710992</v>
      </c>
      <c r="J21" t="str">
        <v>TP05b</v>
      </c>
      <c r="K21" s="21" t="str">
        <v xml:space="preserve">Travaux en souterrains avec tunnelier </v>
      </c>
      <c r="L21" s="21">
        <v>1.2118986412045674E-2</v>
      </c>
      <c r="M21">
        <v>1.6599040944301091E-2</v>
      </c>
    </row>
    <row r="22" spans="1:13">
      <c r="A22" s="178" t="s">
        <v>314</v>
      </c>
      <c r="B22" t="s">
        <v>269</v>
      </c>
      <c r="C22" t="s">
        <v>276</v>
      </c>
      <c r="D22" s="20">
        <v>1.3219284603421366E-2</v>
      </c>
      <c r="E22" s="4">
        <v>1.8764659890539548E-2</v>
      </c>
      <c r="I22" t="str">
        <v>https://www.insee.fr/fr/statistiques/serie/001711003</v>
      </c>
      <c r="J22" t="str">
        <v>TP12b</v>
      </c>
      <c r="K22" s="21" t="str">
        <v>Éclairage public -Travaux d'installation</v>
      </c>
      <c r="L22" s="21">
        <v>8.6206896551723755E-3</v>
      </c>
      <c r="M22">
        <v>7.8308535630382536E-3</v>
      </c>
    </row>
    <row r="23" spans="1:13">
      <c r="A23" s="37" t="s">
        <v>311</v>
      </c>
      <c r="B23" t="s">
        <v>270</v>
      </c>
      <c r="C23" t="s">
        <v>277</v>
      </c>
      <c r="D23" s="177">
        <v>1.4241724403387224E-2</v>
      </c>
      <c r="E23" s="4">
        <v>9.9655040245305582E-3</v>
      </c>
      <c r="I23" t="str">
        <v>https://www.insee.fr/fr/statistiques/serie/001711001</v>
      </c>
      <c r="J23" t="str">
        <v>TP11</v>
      </c>
      <c r="K23" s="21" t="str">
        <v>Canalisations grandes distances de transport / transfert  avec fourniture de tuyaux</v>
      </c>
      <c r="L23" s="21">
        <v>6.5134099616859231E-3</v>
      </c>
      <c r="M23">
        <v>6.1279203370356861E-3</v>
      </c>
    </row>
    <row r="24" spans="1:13">
      <c r="A24" t="s">
        <v>217</v>
      </c>
      <c r="B24" t="s">
        <v>34</v>
      </c>
      <c r="C24" t="s">
        <v>13</v>
      </c>
      <c r="D24" s="177">
        <v>6.5134099616859231E-3</v>
      </c>
      <c r="E24" s="4">
        <v>6.1279203370356861E-3</v>
      </c>
      <c r="I24" t="str">
        <v>https://www.insee.fr/fr/statistiques/serie/001710993</v>
      </c>
      <c r="J24" t="str">
        <v>TP06a</v>
      </c>
      <c r="K24" s="21" t="str">
        <v>Grands dragages maritimes </v>
      </c>
      <c r="L24" s="21">
        <v>5.7908070937386924E-3</v>
      </c>
      <c r="M24">
        <v>-1.4372978799856995E-3</v>
      </c>
    </row>
    <row r="25" spans="1:13">
      <c r="A25" s="194" t="s">
        <v>218</v>
      </c>
      <c r="B25" t="s">
        <v>35</v>
      </c>
      <c r="C25" t="s">
        <v>14</v>
      </c>
      <c r="D25" s="177">
        <v>3.3962264150943389E-2</v>
      </c>
      <c r="E25" s="4">
        <v>5.3440984236831968E-2</v>
      </c>
      <c r="I25" t="str">
        <v>https://www.insee.fr/fr/statistiques/serie/001710989</v>
      </c>
      <c r="J25" t="str">
        <v>TP03b</v>
      </c>
      <c r="K25" s="21" t="str">
        <v>Travaux à l’explosif</v>
      </c>
      <c r="L25" s="21">
        <v>-4.1684035014588616E-4</v>
      </c>
      <c r="M25">
        <v>3.6300777873811585E-2</v>
      </c>
    </row>
    <row r="26" spans="1:13">
      <c r="A26" s="190" t="s">
        <v>219</v>
      </c>
      <c r="B26" t="s">
        <v>36</v>
      </c>
      <c r="C26" t="s">
        <v>15</v>
      </c>
      <c r="D26" s="177">
        <v>8.6206896551723755E-3</v>
      </c>
      <c r="E26" s="4">
        <v>7.8308535630382536E-3</v>
      </c>
      <c r="I26" t="str">
        <v>https://www.insee.fr/fr/statistiques/serie/001711007</v>
      </c>
      <c r="J26" t="str">
        <v>TP01</v>
      </c>
      <c r="K26" s="21" t="str">
        <v>Index général tous travaux</v>
      </c>
      <c r="L26" s="21">
        <v>-1.8932222642937813E-3</v>
      </c>
      <c r="M26">
        <v>1.579961464354529E-2</v>
      </c>
    </row>
    <row r="27" spans="1:13">
      <c r="A27" s="190" t="s">
        <v>220</v>
      </c>
      <c r="B27" t="s">
        <v>37</v>
      </c>
      <c r="C27" t="s">
        <v>16</v>
      </c>
      <c r="D27" s="177">
        <v>2.1044427123928289E-2</v>
      </c>
      <c r="E27" s="4">
        <v>4.2163882259347529E-2</v>
      </c>
      <c r="I27" t="str">
        <v>https://www.insee.fr/fr/statistiques/serie/001711000</v>
      </c>
      <c r="J27" t="str">
        <v>TP10c</v>
      </c>
      <c r="K27" s="21" t="str">
        <v>Réhabilitation de canalisations non visitables</v>
      </c>
      <c r="L27" s="21">
        <v>-1.2213740458015265E-2</v>
      </c>
      <c r="M27">
        <v>-2.3130300693907646E-3</v>
      </c>
    </row>
    <row r="28" spans="1:13">
      <c r="A28" s="190" t="s">
        <v>221</v>
      </c>
      <c r="B28" t="s">
        <v>38</v>
      </c>
      <c r="C28" t="s">
        <v>17</v>
      </c>
      <c r="D28" s="177">
        <v>2.079999999999993E-2</v>
      </c>
      <c r="E28" s="4">
        <v>1.8355945730247347E-2</v>
      </c>
      <c r="I28" t="str">
        <v>https://www.insee.fr/fr/statistiques/serie/001710996</v>
      </c>
      <c r="J28" t="str">
        <v>TP08</v>
      </c>
      <c r="K28" s="21" t="str">
        <v>Travaux d’aménagement et entretien de voirie en zones rurale et urbaine</v>
      </c>
      <c r="L28" s="219">
        <v>-2.5777103866565398E-2</v>
      </c>
      <c r="M28" s="220">
        <v>-7.776049766717863E-4</v>
      </c>
    </row>
    <row r="29" spans="1:13">
      <c r="A29" s="194" t="s">
        <v>312</v>
      </c>
      <c r="B29" t="s">
        <v>271</v>
      </c>
      <c r="C29" t="s">
        <v>278</v>
      </c>
      <c r="D29" s="177">
        <v>-2.8814669286181926E-2</v>
      </c>
      <c r="E29" s="4">
        <v>-2.0475561426684274E-2</v>
      </c>
      <c r="I29" t="str">
        <v>https://www.insee.fr/fr/statistiques/serie/010777583</v>
      </c>
      <c r="J29" t="str">
        <v>TP13a</v>
      </c>
      <c r="K29" s="21" t="str">
        <v>Charpentes et ouvrages d'art métalliques</v>
      </c>
      <c r="L29" s="219">
        <v>-2.8814669286181926E-2</v>
      </c>
      <c r="M29" s="220">
        <v>-2.0475561426684274E-2</v>
      </c>
    </row>
    <row r="30" spans="1:13">
      <c r="A30" s="194" t="s">
        <v>313</v>
      </c>
      <c r="B30" t="s">
        <v>272</v>
      </c>
      <c r="C30" t="s">
        <v>315</v>
      </c>
      <c r="D30" s="177">
        <v>1.3425253991291575E-2</v>
      </c>
      <c r="E30" s="4">
        <v>2.3076923076922995E-2</v>
      </c>
      <c r="I30" t="str">
        <v>https://www.insee.fr/fr/statistiques/serie/001710997</v>
      </c>
      <c r="J30" t="str">
        <v>TP09</v>
      </c>
      <c r="K30" t="str">
        <v>Fabrication et mise en œuvre d’enrobés </v>
      </c>
      <c r="L30" s="220">
        <v>-8.2191780821917693E-2</v>
      </c>
      <c r="M30" s="220">
        <v>-2.9766693483507689E-2</v>
      </c>
    </row>
    <row r="31" spans="1:13">
      <c r="D31" s="177"/>
      <c r="E31" s="4"/>
    </row>
    <row r="32" spans="1:13">
      <c r="D32" s="177"/>
      <c r="E32" s="4"/>
    </row>
    <row r="33" spans="1:30">
      <c r="D33" s="177"/>
      <c r="E33" s="4"/>
    </row>
    <row r="34" spans="1:30">
      <c r="D34" s="177"/>
      <c r="E34" s="4"/>
    </row>
    <row r="36" spans="1:30">
      <c r="C36" t="str">
        <f>'A MODIFIER'!A10</f>
        <v>*/2025</v>
      </c>
      <c r="D36" s="5">
        <f>('CUMULS INDEX'!B20/'CUMULS INDEX'!B36)-1</f>
        <v>-1.8932222642937813E-3</v>
      </c>
      <c r="E36" s="5">
        <f>('CUMULS INDEX'!C20/'CUMULS INDEX'!C36)-1</f>
        <v>1.8141429100333228E-2</v>
      </c>
      <c r="F36" s="5">
        <f>('CUMULS INDEX'!D20/'CUMULS INDEX'!D36)-1</f>
        <v>1.4992503748125774E-2</v>
      </c>
      <c r="G36" s="5">
        <f>('CUMULS INDEX'!E20/'CUMULS INDEX'!E36)-1</f>
        <v>-4.1684035014588616E-4</v>
      </c>
      <c r="H36" s="5">
        <f>('CUMULS INDEX'!F20/'CUMULS INDEX'!F36)-1</f>
        <v>1.35849056603774E-2</v>
      </c>
      <c r="I36" s="5">
        <f>('CUMULS INDEX'!G20/'CUMULS INDEX'!G36)-1</f>
        <v>1.5607580824971823E-2</v>
      </c>
      <c r="J36" s="5">
        <f>('CUMULS INDEX'!H20/'CUMULS INDEX'!H36)-1</f>
        <v>1.2118986412045674E-2</v>
      </c>
      <c r="K36" s="5">
        <f>('CUMULS INDEX'!I20/'CUMULS INDEX'!I36)-1</f>
        <v>5.7908070937386924E-3</v>
      </c>
      <c r="L36" s="5">
        <f>('CUMULS INDEX'!J20/'CUMULS INDEX'!J36)-1</f>
        <v>1.6337386018237199E-2</v>
      </c>
      <c r="M36" s="5">
        <f>('CUMULS INDEX'!K20/'CUMULS INDEX'!K36)-1</f>
        <v>2.9654654654654777E-2</v>
      </c>
      <c r="N36" s="5">
        <f>('CUMULS INDEX'!L20/'CUMULS INDEX'!L36)-1</f>
        <v>-2.5777103866565398E-2</v>
      </c>
      <c r="O36" s="5">
        <f>('CUMULS INDEX'!M20/'CUMULS INDEX'!M36)-1</f>
        <v>-8.2191780821917693E-2</v>
      </c>
      <c r="P36" s="5">
        <f>('CUMULS INDEX'!N20/'CUMULS INDEX'!N36)-1</f>
        <v>2.2011385199240951E-2</v>
      </c>
      <c r="Q36" s="5">
        <f>('CUMULS INDEX'!O20/'CUMULS INDEX'!O36)-1</f>
        <v>-1.2213740458015265E-2</v>
      </c>
      <c r="R36" s="5">
        <f>('CUMULS INDEX'!P20/'CUMULS INDEX'!P36)-1</f>
        <v>1.3189448441247142E-2</v>
      </c>
      <c r="S36" s="5">
        <f>('CUMULS INDEX'!Q20/'CUMULS INDEX'!Q36)-1</f>
        <v>1.3219284603421366E-2</v>
      </c>
      <c r="T36" s="5">
        <f>('CUMULS INDEX'!R20/'CUMULS INDEX'!R36)-1</f>
        <v>1.4241724403387224E-2</v>
      </c>
      <c r="U36" s="5">
        <f>('CUMULS INDEX'!S20/'CUMULS INDEX'!S36)-1</f>
        <v>6.5134099616859231E-3</v>
      </c>
      <c r="V36" s="5">
        <f>('CUMULS INDEX'!T20/'CUMULS INDEX'!T36)-1</f>
        <v>3.3962264150943389E-2</v>
      </c>
      <c r="W36" s="5">
        <f>('CUMULS INDEX'!U20/'CUMULS INDEX'!U36)-1</f>
        <v>8.6206896551723755E-3</v>
      </c>
      <c r="X36" s="5">
        <f>('CUMULS INDEX'!V20/'CUMULS INDEX'!V36)-1</f>
        <v>2.1044427123928289E-2</v>
      </c>
      <c r="Y36" s="5">
        <f>('CUMULS INDEX'!W20/'CUMULS INDEX'!W36)-1</f>
        <v>2.079999999999993E-2</v>
      </c>
      <c r="Z36" s="5">
        <f>('CUMULS INDEX'!X20/'CUMULS INDEX'!X36)-1</f>
        <v>-2.8814669286181926E-2</v>
      </c>
      <c r="AA36" s="5">
        <f>('CUMULS INDEX'!Y20/'CUMULS INDEX'!Y36)-1</f>
        <v>1.3425253991291575E-2</v>
      </c>
      <c r="AD36" s="5"/>
    </row>
    <row r="37" spans="1:30">
      <c r="C37" t="str">
        <f>'A MODIFIER'!A9</f>
        <v>*/2024</v>
      </c>
      <c r="D37" s="5">
        <f>('CUMULS INDEX'!B20/'CUMULS INDEX'!B52)-1</f>
        <v>1.579961464354529E-2</v>
      </c>
      <c r="E37" s="5">
        <f>('CUMULS INDEX'!C20/'CUMULS INDEX'!C52)-1</f>
        <v>2.7653213751868355E-2</v>
      </c>
      <c r="F37" s="5">
        <f>('CUMULS INDEX'!D20/'CUMULS INDEX'!D52)-1</f>
        <v>3.1226199543030964E-2</v>
      </c>
      <c r="G37" s="5">
        <f>('CUMULS INDEX'!E20/'CUMULS INDEX'!E52)-1</f>
        <v>3.6300777873811585E-2</v>
      </c>
      <c r="H37" s="5">
        <f>('CUMULS INDEX'!F20/'CUMULS INDEX'!F52)-1</f>
        <v>1.7424242424242564E-2</v>
      </c>
      <c r="I37" s="5">
        <f>('CUMULS INDEX'!G20/'CUMULS INDEX'!G52)-1</f>
        <v>2.7057497181510515E-2</v>
      </c>
      <c r="J37" s="5">
        <f>('CUMULS INDEX'!H20/'CUMULS INDEX'!H52)-1</f>
        <v>1.6599040944301091E-2</v>
      </c>
      <c r="K37" s="5">
        <f>('CUMULS INDEX'!I20/'CUMULS INDEX'!I52)-1</f>
        <v>-1.4372978799856995E-3</v>
      </c>
      <c r="L37" s="5">
        <f>('CUMULS INDEX'!J20/'CUMULS INDEX'!J52)-1</f>
        <v>3.9238539238539261E-2</v>
      </c>
      <c r="M37" s="5">
        <f>('CUMULS INDEX'!K20/'CUMULS INDEX'!K52)-1</f>
        <v>2.7340823970037453E-2</v>
      </c>
      <c r="N37" s="5">
        <f>('CUMULS INDEX'!L20/'CUMULS INDEX'!L52)-1</f>
        <v>-7.776049766717863E-4</v>
      </c>
      <c r="O37" s="5">
        <f>('CUMULS INDEX'!M20/'CUMULS INDEX'!M52)-1</f>
        <v>-2.9766693483507689E-2</v>
      </c>
      <c r="P37" s="5">
        <f>('CUMULS INDEX'!N20/'CUMULS INDEX'!N52)-1</f>
        <v>3.6566589684372763E-2</v>
      </c>
      <c r="Q37" s="5">
        <f>('CUMULS INDEX'!O20/'CUMULS INDEX'!O52)-1</f>
        <v>-2.3130300693907646E-3</v>
      </c>
      <c r="R37" s="5">
        <f>('CUMULS INDEX'!P20/'CUMULS INDEX'!P52)-1</f>
        <v>1.1976047904191711E-2</v>
      </c>
      <c r="S37" s="5">
        <f>('CUMULS INDEX'!Q20/'CUMULS INDEX'!Q52)-1</f>
        <v>1.8764659890539548E-2</v>
      </c>
      <c r="T37" s="5">
        <f>('CUMULS INDEX'!R20/'CUMULS INDEX'!R52)-1</f>
        <v>9.9655040245305582E-3</v>
      </c>
      <c r="U37" s="5">
        <f>('CUMULS INDEX'!S20/'CUMULS INDEX'!S52)-1</f>
        <v>6.1279203370356861E-3</v>
      </c>
      <c r="V37" s="5">
        <f>('CUMULS INDEX'!T20/'CUMULS INDEX'!T52)-1</f>
        <v>5.3440984236831968E-2</v>
      </c>
      <c r="W37" s="5">
        <f>('CUMULS INDEX'!U20/'CUMULS INDEX'!U52)-1</f>
        <v>7.8308535630382536E-3</v>
      </c>
      <c r="X37" s="5">
        <f>('CUMULS INDEX'!V20/'CUMULS INDEX'!V52)-1</f>
        <v>4.2163882259347529E-2</v>
      </c>
      <c r="Y37" s="5">
        <f>('CUMULS INDEX'!W20/'CUMULS INDEX'!W52)-1</f>
        <v>1.8355945730247347E-2</v>
      </c>
      <c r="Z37" s="5">
        <f>('CUMULS INDEX'!X20/'CUMULS INDEX'!X52)-1</f>
        <v>-2.0475561426684274E-2</v>
      </c>
      <c r="AA37" s="5">
        <f>('CUMULS INDEX'!Y20/'CUMULS INDEX'!Y52)-1</f>
        <v>2.3076923076922995E-2</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8" t="s">
        <v>184</v>
      </c>
      <c r="C39" s="239"/>
      <c r="D39" s="239"/>
      <c r="E39" s="239"/>
      <c r="F39" s="239"/>
      <c r="G39" s="239"/>
      <c r="H39" s="239"/>
      <c r="I39" s="239"/>
      <c r="J39" s="239"/>
      <c r="K39" s="239"/>
      <c r="L39" s="239"/>
      <c r="M39" s="239"/>
    </row>
    <row r="40" spans="1:30">
      <c r="I40" t="str" cm="1">
        <f t="array" ref="I40:I41">'A MODIFIER'!A5:A6</f>
        <v>*/2025 = Cumul janv 2026-févr 2026 / Cumul janv 2025-févr 2025</v>
      </c>
    </row>
    <row r="41" spans="1:30" ht="15.75">
      <c r="A41" s="141"/>
      <c r="B41" s="141"/>
      <c r="C41" s="141"/>
      <c r="I41" t="str">
        <v>*/2024 = Cumul janv 2026-févr 2026 / Cumul janv 2024-févr 2024</v>
      </c>
    </row>
    <row r="42" spans="1:30">
      <c r="A42"/>
    </row>
    <row r="43" spans="1:30">
      <c r="B43" s="237" t="s">
        <v>187</v>
      </c>
      <c r="C43" s="237"/>
      <c r="D43" s="237"/>
      <c r="E43" s="237"/>
      <c r="J43" s="237" t="s">
        <v>188</v>
      </c>
      <c r="K43" s="237"/>
      <c r="L43" s="237"/>
      <c r="M43" s="237"/>
    </row>
    <row r="44" spans="1:30">
      <c r="D44" t="str">
        <f>'A MODIFIER'!A10</f>
        <v>*/2025</v>
      </c>
      <c r="E44" t="str">
        <f>'A MODIFIER'!A9</f>
        <v>*/2024</v>
      </c>
      <c r="L44" t="str">
        <f>'A MODIFIER'!A10</f>
        <v>*/2025</v>
      </c>
      <c r="M44" t="str">
        <f>'A MODIFIER'!A9</f>
        <v>*/2024</v>
      </c>
    </row>
    <row r="45" spans="1:30">
      <c r="A45" s="34" t="s">
        <v>84</v>
      </c>
      <c r="B45" s="32" t="s">
        <v>47</v>
      </c>
      <c r="C45" t="s">
        <v>115</v>
      </c>
      <c r="D45" s="137" cm="1">
        <f t="array" ref="D45:D83">TRANSPOSE(D87:AP87)</f>
        <v>1.6459253311922994E-2</v>
      </c>
      <c r="E45" s="4" cm="1">
        <f t="array" ref="E45:E83">TRANSPOSE(D88:AP88)</f>
        <v>2.0556227327690468E-2</v>
      </c>
      <c r="I45" t="str" cm="1">
        <f t="array" ref="I45:M83">_xlfn._xlws.SORT(A45:E83,4,-1,FALSE)</f>
        <v>https://www.insee.fr/fr/statistiques/serie/010764224</v>
      </c>
      <c r="J45" t="str">
        <v>010764224</v>
      </c>
      <c r="K45" t="str">
        <v>Matériel de distribution et de commande électrique</v>
      </c>
      <c r="L45" s="4">
        <v>0.14835164835164849</v>
      </c>
      <c r="M45" s="4">
        <v>0.13729593972373411</v>
      </c>
    </row>
    <row r="46" spans="1:30">
      <c r="A46" s="212" t="s">
        <v>359</v>
      </c>
      <c r="B46" s="32">
        <v>8899388</v>
      </c>
      <c r="C46" t="s">
        <v>116</v>
      </c>
      <c r="D46" s="137">
        <v>3.2774945375090958E-2</v>
      </c>
      <c r="E46" s="4">
        <v>6.9381598793363697E-2</v>
      </c>
      <c r="I46" t="str">
        <v>https://www.insee.fr/fr/statistiques/serie/010764223</v>
      </c>
      <c r="J46" t="str">
        <v>010764223</v>
      </c>
      <c r="K46" t="str">
        <v>Moteurs, génératrices, transfo. électr., matér. distrib., cmde électr.</v>
      </c>
      <c r="L46" s="4">
        <v>9.8332620778110114E-2</v>
      </c>
      <c r="M46" s="4">
        <v>9.505541346973545E-2</v>
      </c>
    </row>
    <row r="47" spans="1:30">
      <c r="A47" s="34" t="s">
        <v>85</v>
      </c>
      <c r="B47" s="32" t="s">
        <v>49</v>
      </c>
      <c r="C47" t="s">
        <v>117</v>
      </c>
      <c r="D47" s="137">
        <v>2.1892393320964709E-2</v>
      </c>
      <c r="E47" s="4">
        <v>4.8743335872048599E-2</v>
      </c>
      <c r="I47" t="str">
        <v>https://www.insee.fr/fr/statistiques/serie/010765839</v>
      </c>
      <c r="J47" t="str">
        <v>010765839</v>
      </c>
      <c r="K47" t="str">
        <v>Tôles quarto et autres produits plats en aciers non alliés de qualité</v>
      </c>
      <c r="L47" s="4">
        <v>3.6002482929857083E-2</v>
      </c>
      <c r="M47" s="4">
        <v>-5.546123372948486E-2</v>
      </c>
    </row>
    <row r="48" spans="1:30">
      <c r="A48" s="34" t="s">
        <v>279</v>
      </c>
      <c r="B48" s="32" t="s">
        <v>317</v>
      </c>
      <c r="C48" t="s">
        <v>316</v>
      </c>
      <c r="D48" s="137">
        <v>-1.7268947873361196E-2</v>
      </c>
      <c r="E48" s="4">
        <v>2.7072192513368787E-2</v>
      </c>
      <c r="I48" t="str">
        <v>https://www.insee.fr/fr/statistiques/8899388</v>
      </c>
      <c r="J48">
        <v>8899388</v>
      </c>
      <c r="K48" t="str">
        <v>Travail</v>
      </c>
      <c r="L48" s="4">
        <v>3.2774945375090958E-2</v>
      </c>
      <c r="M48" s="4">
        <v>6.9381598793363697E-2</v>
      </c>
    </row>
    <row r="49" spans="1:13">
      <c r="A49" s="222" t="s">
        <v>357</v>
      </c>
      <c r="B49" s="32" t="s">
        <v>358</v>
      </c>
      <c r="C49" t="s">
        <v>118</v>
      </c>
      <c r="D49" s="137">
        <v>-2.3978982565082463E-2</v>
      </c>
      <c r="E49" s="4">
        <v>-6.3780068728522377E-2</v>
      </c>
      <c r="G49" s="5"/>
      <c r="I49" t="str">
        <v>https://www.insee.fr/fr/statistiques/serie/010764101</v>
      </c>
      <c r="J49" t="str">
        <v>010764101</v>
      </c>
      <c r="K49" t="str">
        <v>Autres textiles</v>
      </c>
      <c r="L49" s="4">
        <v>2.9986962190352129E-2</v>
      </c>
      <c r="M49" s="4">
        <v>5.1930758988016024E-2</v>
      </c>
    </row>
    <row r="50" spans="1:13">
      <c r="A50" s="34" t="s">
        <v>87</v>
      </c>
      <c r="B50" s="32" t="s">
        <v>51</v>
      </c>
      <c r="C50" t="s">
        <v>119</v>
      </c>
      <c r="D50" s="137">
        <v>1.6891891891890332E-3</v>
      </c>
      <c r="E50" s="4">
        <v>1.1082693947144007E-2</v>
      </c>
      <c r="I50" t="str">
        <v>https://www.insee.fr/fr/statistiques/serie/010764116#Tableau</v>
      </c>
      <c r="J50" t="str">
        <v> 010764116</v>
      </c>
      <c r="K50" t="str">
        <v>Ensemble des produits du sciage</v>
      </c>
      <c r="L50" s="4">
        <v>2.6600541027953062E-2</v>
      </c>
      <c r="M50" s="4">
        <v>6.5014031805425532E-2</v>
      </c>
    </row>
    <row r="51" spans="1:13">
      <c r="A51" s="34" t="s">
        <v>88</v>
      </c>
      <c r="B51" s="32" t="s">
        <v>52</v>
      </c>
      <c r="C51" t="s">
        <v>120</v>
      </c>
      <c r="D51" s="137">
        <v>1.7813765182186359E-2</v>
      </c>
      <c r="E51" s="4">
        <v>1.3709677419354804E-2</v>
      </c>
      <c r="I51" t="str">
        <v>https://www.insee.fr/fr/statistiques/serie/001565195</v>
      </c>
      <c r="J51" t="str">
        <v>001565195</v>
      </c>
      <c r="K51" t="str">
        <v>Travail activités spécialisées</v>
      </c>
      <c r="L51" s="4">
        <v>2.1892393320964709E-2</v>
      </c>
      <c r="M51" s="4">
        <v>4.8743335872048599E-2</v>
      </c>
    </row>
    <row r="52" spans="1:13">
      <c r="A52" s="34" t="s">
        <v>280</v>
      </c>
      <c r="B52" s="187" t="s">
        <v>320</v>
      </c>
      <c r="C52" t="s">
        <v>121</v>
      </c>
      <c r="D52" s="137">
        <v>-0.12597741094700277</v>
      </c>
      <c r="E52" s="4">
        <v>-0.24981357196122311</v>
      </c>
      <c r="I52" t="str">
        <v>https://www.insee.fr/fr/statistiques/serie/010764180</v>
      </c>
      <c r="J52" t="str">
        <v>010764180</v>
      </c>
      <c r="K52" t="str">
        <v>Béton prêt à l'emploi</v>
      </c>
      <c r="L52" s="4">
        <v>2.1423106350420884E-2</v>
      </c>
      <c r="M52" s="4">
        <v>2.8505392912172578E-2</v>
      </c>
    </row>
    <row r="53" spans="1:13">
      <c r="A53" s="159" t="s">
        <v>281</v>
      </c>
      <c r="B53" s="187" t="s">
        <v>321</v>
      </c>
      <c r="C53" t="s">
        <v>263</v>
      </c>
      <c r="D53" s="137">
        <v>-0.33551769331585823</v>
      </c>
      <c r="E53" s="4">
        <v>5.9523809523811533E-3</v>
      </c>
      <c r="I53" t="str">
        <v>https://www.insee.fr/fr/statistiques/serie/010764176</v>
      </c>
      <c r="J53" t="str">
        <v>010764176</v>
      </c>
      <c r="K53" t="str">
        <v>Ciment, chaux et plâtre</v>
      </c>
      <c r="L53" s="4">
        <v>1.9741320626276426E-2</v>
      </c>
      <c r="M53" s="4">
        <v>3.345981372887219E-2</v>
      </c>
    </row>
    <row r="54" spans="1:13" ht="30">
      <c r="A54" s="34" t="s">
        <v>90</v>
      </c>
      <c r="B54" s="32" t="s">
        <v>55</v>
      </c>
      <c r="C54" t="s">
        <v>55</v>
      </c>
      <c r="D54" s="137">
        <v>-4.2378998190626294E-2</v>
      </c>
      <c r="E54" s="4">
        <v>-0.11250648078806358</v>
      </c>
      <c r="I54" t="str">
        <v>https://www.insee.fr/fr/statistiques/serie/001711943</v>
      </c>
      <c r="J54" t="str">
        <v>001711943</v>
      </c>
      <c r="K54" t="str">
        <v>Transports routiers</v>
      </c>
      <c r="L54" s="4">
        <v>1.7813765182186359E-2</v>
      </c>
      <c r="M54" s="4">
        <v>1.3709677419354804E-2</v>
      </c>
    </row>
    <row r="55" spans="1:13">
      <c r="A55" s="34" t="s">
        <v>282</v>
      </c>
      <c r="B55" s="32" t="s">
        <v>322</v>
      </c>
      <c r="C55" t="s">
        <v>122</v>
      </c>
      <c r="D55" s="137">
        <v>-1.0329562223315381E-2</v>
      </c>
      <c r="E55" s="4">
        <v>-7.5792374827744591E-2</v>
      </c>
      <c r="I55" t="str">
        <v>https://www.insee.fr/fr/statistiques/serie/001711009</v>
      </c>
      <c r="J55" t="str">
        <v>001711009</v>
      </c>
      <c r="K55" t="str">
        <v>Matériel</v>
      </c>
      <c r="L55" s="4">
        <v>1.6459253311922994E-2</v>
      </c>
      <c r="M55" s="4">
        <v>2.0556227327690468E-2</v>
      </c>
    </row>
    <row r="56" spans="1:13">
      <c r="A56" s="34" t="s">
        <v>284</v>
      </c>
      <c r="B56" s="187" t="s">
        <v>283</v>
      </c>
      <c r="C56" t="s">
        <v>123</v>
      </c>
      <c r="D56" s="137">
        <v>2.6600541027953062E-2</v>
      </c>
      <c r="E56" s="4">
        <v>6.5014031805425532E-2</v>
      </c>
      <c r="I56" t="str">
        <v>https://www.insee.fr/fr/statistiques/serie/010764301</v>
      </c>
      <c r="J56" t="str">
        <v>010764301</v>
      </c>
      <c r="K56" t="str">
        <v>Collecte, traitement et élimination des déchets ; récupération de matériaux</v>
      </c>
      <c r="L56" s="4">
        <v>1.418115279048493E-2</v>
      </c>
      <c r="M56" s="4">
        <v>3.0204460966542834E-2</v>
      </c>
    </row>
    <row r="57" spans="1:13">
      <c r="A57" s="34" t="s">
        <v>285</v>
      </c>
      <c r="B57" s="187" t="s">
        <v>323</v>
      </c>
      <c r="C57" t="s">
        <v>124</v>
      </c>
      <c r="D57" s="137">
        <v>2.1423106350420884E-2</v>
      </c>
      <c r="E57" s="4">
        <v>2.8505392912172578E-2</v>
      </c>
      <c r="I57" t="str">
        <v>https://www.insee.fr/fr/statistiques/serie/010764179</v>
      </c>
      <c r="J57" t="str">
        <v>010764179</v>
      </c>
      <c r="K57" t="str">
        <v>Éléments en béton pour la construction</v>
      </c>
      <c r="L57" s="4">
        <v>8.8719898605831293E-3</v>
      </c>
      <c r="M57" s="4">
        <v>-2.6894865525672329E-2</v>
      </c>
    </row>
    <row r="58" spans="1:13">
      <c r="A58" s="34" t="s">
        <v>286</v>
      </c>
      <c r="B58" s="187" t="s">
        <v>324</v>
      </c>
      <c r="C58" t="s">
        <v>125</v>
      </c>
      <c r="D58" s="137">
        <v>-1.2658227848101333E-2</v>
      </c>
      <c r="E58" s="4">
        <v>-5.4545454545454564E-2</v>
      </c>
      <c r="I58" t="str">
        <v>https://www.insee.fr/fr/statistiques/serie/010765500</v>
      </c>
      <c r="J58" t="str">
        <v>010765500</v>
      </c>
      <c r="K58" t="str">
        <v>Sables et granulats</v>
      </c>
      <c r="L58" s="4">
        <v>5.1391862955032508E-3</v>
      </c>
      <c r="M58" s="4">
        <v>-2.9736618521666314E-3</v>
      </c>
    </row>
    <row r="59" spans="1:13">
      <c r="A59" s="34" t="s">
        <v>287</v>
      </c>
      <c r="B59" s="196" t="s">
        <v>319</v>
      </c>
      <c r="C59" t="s">
        <v>126</v>
      </c>
      <c r="D59" s="137">
        <v>5.1391862955032508E-3</v>
      </c>
      <c r="E59" s="4">
        <v>-2.9736618521666314E-3</v>
      </c>
      <c r="I59" t="str">
        <v>https://www.insee.fr/fr/statistiques/serie/010763871</v>
      </c>
      <c r="J59" t="str">
        <v>010763871</v>
      </c>
      <c r="K59" t="str">
        <v>Produits de voierie en béton</v>
      </c>
      <c r="L59" s="4">
        <v>5.1181102362205522E-3</v>
      </c>
      <c r="M59" s="4">
        <v>5.5139818826310805E-3</v>
      </c>
    </row>
    <row r="60" spans="1:13">
      <c r="A60" s="34" t="s">
        <v>288</v>
      </c>
      <c r="B60" s="32" t="s">
        <v>325</v>
      </c>
      <c r="C60" t="s">
        <v>127</v>
      </c>
      <c r="D60" s="137">
        <v>-2.9864675688287434E-2</v>
      </c>
      <c r="E60" s="4">
        <v>-2.9864675688287434E-2</v>
      </c>
      <c r="I60" t="str">
        <v>https://www.insee.fr/fr/statistiques/serie/010763881</v>
      </c>
      <c r="J60" t="str">
        <v>010763881</v>
      </c>
      <c r="K60" t="str">
        <v>Produits sidérurgiques en acier non allié</v>
      </c>
      <c r="L60" s="4">
        <v>4.8205677557580096E-3</v>
      </c>
      <c r="M60" s="4">
        <v>-4.6263345195729499E-2</v>
      </c>
    </row>
    <row r="61" spans="1:13">
      <c r="A61" s="34" t="s">
        <v>289</v>
      </c>
      <c r="B61" s="32" t="s">
        <v>326</v>
      </c>
      <c r="C61" t="s">
        <v>128</v>
      </c>
      <c r="D61" s="137">
        <v>1.9741320626276426E-2</v>
      </c>
      <c r="E61" s="4">
        <v>3.345981372887219E-2</v>
      </c>
      <c r="I61" t="str">
        <v>https://www.insee.fr/fr/statistiques/serie/010764195</v>
      </c>
      <c r="J61" t="str">
        <v>010764195</v>
      </c>
      <c r="K61" t="str">
        <v>Travaux de fonderie de fonte</v>
      </c>
      <c r="L61" s="4">
        <v>3.1262211801486028E-3</v>
      </c>
      <c r="M61" s="4">
        <v>-2.3319082782742306E-3</v>
      </c>
    </row>
    <row r="62" spans="1:13">
      <c r="A62" s="34" t="s">
        <v>290</v>
      </c>
      <c r="B62" s="32" t="s">
        <v>327</v>
      </c>
      <c r="C62" t="s">
        <v>258</v>
      </c>
      <c r="D62" s="137">
        <v>-4.8284625158831029E-2</v>
      </c>
      <c r="E62" s="4">
        <v>3.1680440771349794E-2</v>
      </c>
      <c r="I62" t="str">
        <v>https://www.insee.fr/fr/statistiques/serie/010764306</v>
      </c>
      <c r="J62" t="str">
        <v>010764306</v>
      </c>
      <c r="K62" t="str">
        <v>Traitement et élimination des déchets non dangereux</v>
      </c>
      <c r="L62" s="4">
        <v>2.5380710659899108E-3</v>
      </c>
      <c r="M62" s="4">
        <v>2.5530073561228717E-2</v>
      </c>
    </row>
    <row r="63" spans="1:13">
      <c r="A63" s="34" t="s">
        <v>291</v>
      </c>
      <c r="B63" s="32" t="s">
        <v>328</v>
      </c>
      <c r="C63" t="s">
        <v>129</v>
      </c>
      <c r="D63" s="137">
        <v>-1.2672176308540006E-2</v>
      </c>
      <c r="E63" s="4">
        <v>-4.9840933191940828E-2</v>
      </c>
      <c r="I63" t="str">
        <v>https://www.insee.fr/fr/statistiques/serie/001711011</v>
      </c>
      <c r="J63" t="str">
        <v>001711011</v>
      </c>
      <c r="K63" t="str">
        <v>Frais divers</v>
      </c>
      <c r="L63" s="4">
        <v>1.6891891891890332E-3</v>
      </c>
      <c r="M63" s="4">
        <v>1.1082693947144007E-2</v>
      </c>
    </row>
    <row r="64" spans="1:13">
      <c r="A64" s="34" t="s">
        <v>292</v>
      </c>
      <c r="B64" s="32" t="s">
        <v>329</v>
      </c>
      <c r="C64" t="s">
        <v>130</v>
      </c>
      <c r="D64" s="137">
        <v>-0.22037914691943117</v>
      </c>
      <c r="E64" s="4">
        <v>-0.12188612099644125</v>
      </c>
      <c r="I64" t="str">
        <v>https://www.insee.fr/fr/statistiques/serie/010763930</v>
      </c>
      <c r="J64" t="str">
        <v>010763930</v>
      </c>
      <c r="K64" t="str">
        <v>Fils et câbles d'énergie</v>
      </c>
      <c r="L64" s="4">
        <v>1.5961691939345712E-3</v>
      </c>
      <c r="M64" s="4">
        <v>6.8539804171988239E-2</v>
      </c>
    </row>
    <row r="65" spans="1:13">
      <c r="A65" s="34" t="s">
        <v>293</v>
      </c>
      <c r="B65" s="32" t="s">
        <v>330</v>
      </c>
      <c r="C65" t="s">
        <v>131</v>
      </c>
      <c r="D65" s="137">
        <v>5.1181102362205522E-3</v>
      </c>
      <c r="E65" s="4">
        <v>5.5139818826310805E-3</v>
      </c>
      <c r="I65" t="str">
        <v>https://www.insee.fr/fr/statistiques/serie/010766292</v>
      </c>
      <c r="J65" t="str">
        <v>010766292</v>
      </c>
      <c r="K65" t="str">
        <v>Réseaux d’assainissement</v>
      </c>
      <c r="L65" s="4">
        <v>3.910833007432224E-4</v>
      </c>
      <c r="M65" s="4">
        <v>3.1372549019608176E-3</v>
      </c>
    </row>
    <row r="66" spans="1:13">
      <c r="A66" s="34" t="s">
        <v>294</v>
      </c>
      <c r="B66" s="32" t="s">
        <v>331</v>
      </c>
      <c r="C66" t="s">
        <v>132</v>
      </c>
      <c r="D66" s="137">
        <v>-1.0789814415192112E-2</v>
      </c>
      <c r="E66" s="4">
        <v>-1.1216566005176953E-2</v>
      </c>
      <c r="I66" t="str">
        <v>https://www.insee.fr/fr/statistiques/serie/010764228</v>
      </c>
      <c r="J66" t="str">
        <v>010764228</v>
      </c>
      <c r="K66" t="str">
        <v>Appareils d'éclairage électrique</v>
      </c>
      <c r="L66" s="4">
        <v>-6.5696855936180354E-3</v>
      </c>
      <c r="M66" s="4">
        <v>-1.5806601580660273E-2</v>
      </c>
    </row>
    <row r="67" spans="1:13">
      <c r="A67" s="34" t="s">
        <v>295</v>
      </c>
      <c r="B67" s="32" t="s">
        <v>332</v>
      </c>
      <c r="C67" t="s">
        <v>133</v>
      </c>
      <c r="D67" s="137">
        <v>3.1262211801486028E-3</v>
      </c>
      <c r="E67" s="4">
        <v>-2.3319082782742306E-3</v>
      </c>
      <c r="I67" t="str">
        <v>https://www.insee.fr/fr/statistiques/serie/010763845</v>
      </c>
      <c r="J67" t="str">
        <v>010763845</v>
      </c>
      <c r="K67" t="str">
        <v>Tubes, tuyaux en matière plastique</v>
      </c>
      <c r="L67" s="4">
        <v>-1.0329562223315381E-2</v>
      </c>
      <c r="M67" s="4">
        <v>-7.5792374827744591E-2</v>
      </c>
    </row>
    <row r="68" spans="1:13">
      <c r="A68" s="34" t="s">
        <v>296</v>
      </c>
      <c r="B68" s="32" t="s">
        <v>333</v>
      </c>
      <c r="C68" t="s">
        <v>134</v>
      </c>
      <c r="D68" s="137">
        <v>-1.145311381531855E-2</v>
      </c>
      <c r="E68" s="4">
        <v>-2.888086642599319E-3</v>
      </c>
      <c r="I68" t="str">
        <v>https://www.insee.fr/fr/statistiques/serie/010764181</v>
      </c>
      <c r="J68" t="str">
        <v>010764181</v>
      </c>
      <c r="K68" t="str">
        <v>Mortiers et bétons secs</v>
      </c>
      <c r="L68" s="4">
        <v>-1.0789814415192112E-2</v>
      </c>
      <c r="M68" s="4">
        <v>-1.1216566005176953E-2</v>
      </c>
    </row>
    <row r="69" spans="1:13">
      <c r="A69" s="159" t="s">
        <v>297</v>
      </c>
      <c r="B69" s="32" t="s">
        <v>334</v>
      </c>
      <c r="C69" t="s">
        <v>266</v>
      </c>
      <c r="D69" s="137">
        <v>3.910833007432224E-4</v>
      </c>
      <c r="E69" s="4">
        <v>3.1372549019608176E-3</v>
      </c>
      <c r="I69" t="str">
        <v>https://www.insee.fr/fr/statistiques/serie/010764172</v>
      </c>
      <c r="J69" t="str">
        <v>010764172</v>
      </c>
      <c r="K69" t="str">
        <v>Tuiles, briques et produits de construction en terre cuite</v>
      </c>
      <c r="L69" s="4">
        <v>-1.145311381531855E-2</v>
      </c>
      <c r="M69" s="4">
        <v>-2.888086642599319E-3</v>
      </c>
    </row>
    <row r="70" spans="1:13">
      <c r="A70" s="34" t="s">
        <v>298</v>
      </c>
      <c r="B70" s="32" t="s">
        <v>335</v>
      </c>
      <c r="C70" t="s">
        <v>261</v>
      </c>
      <c r="D70" s="137">
        <v>2.9986962190352129E-2</v>
      </c>
      <c r="E70" s="4">
        <v>5.1930758988016024E-2</v>
      </c>
      <c r="I70" t="str">
        <v>https://www.insee.fr/fr/statistiques/serie/010764187</v>
      </c>
      <c r="J70" t="str">
        <v>010764187</v>
      </c>
      <c r="K70" t="str">
        <v>Tubes, tuyaux, profilés creux et accessoires correspondants en acier</v>
      </c>
      <c r="L70" s="4">
        <v>-1.2315270935960521E-2</v>
      </c>
      <c r="M70" s="4">
        <v>-4.7505938242280221E-2</v>
      </c>
    </row>
    <row r="71" spans="1:13">
      <c r="A71" s="34" t="s">
        <v>299</v>
      </c>
      <c r="B71" s="32" t="s">
        <v>336</v>
      </c>
      <c r="C71" t="s">
        <v>135</v>
      </c>
      <c r="D71" s="137">
        <v>-0.10911016949152552</v>
      </c>
      <c r="E71" s="4">
        <v>-9.4725511302475862E-2</v>
      </c>
      <c r="I71" t="str">
        <v>https://www.insee.fr/fr/statistiques/serie/010766236</v>
      </c>
      <c r="J71" t="str">
        <v>010766236</v>
      </c>
      <c r="K71" t="str">
        <v>Barres crénelées ou nervurées pour béton armé</v>
      </c>
      <c r="L71" s="4">
        <v>-1.2658227848101333E-2</v>
      </c>
      <c r="M71" s="4">
        <v>-5.4545454545454564E-2</v>
      </c>
    </row>
    <row r="72" spans="1:13">
      <c r="A72" s="34" t="s">
        <v>300</v>
      </c>
      <c r="B72" s="32" t="s">
        <v>337</v>
      </c>
      <c r="C72" t="s">
        <v>136</v>
      </c>
      <c r="D72" s="137">
        <v>-1.2315270935960521E-2</v>
      </c>
      <c r="E72" s="4">
        <v>-4.7505938242280221E-2</v>
      </c>
      <c r="I72" t="str">
        <v>https://www.insee.fr/fr/statistiques/serie/010765837</v>
      </c>
      <c r="J72" t="str">
        <v>010765837</v>
      </c>
      <c r="K72" t="str">
        <v>Acier pour la construction</v>
      </c>
      <c r="L72" s="4">
        <v>-1.2672176308540006E-2</v>
      </c>
      <c r="M72" s="4">
        <v>-4.9840933191940828E-2</v>
      </c>
    </row>
    <row r="73" spans="1:13">
      <c r="A73" s="159" t="s">
        <v>301</v>
      </c>
      <c r="B73" s="32" t="s">
        <v>338</v>
      </c>
      <c r="C73" t="s">
        <v>137</v>
      </c>
      <c r="D73" s="137">
        <v>8.8719898605831293E-3</v>
      </c>
      <c r="E73" s="4">
        <v>-2.6894865525672329E-2</v>
      </c>
      <c r="I73" t="str">
        <v>https://www.insee.fr/fr/statistiques/serie/010777519</v>
      </c>
      <c r="J73" t="str">
        <v>010777519</v>
      </c>
      <c r="K73" t="str">
        <v>GNR pour les Travaux Publics</v>
      </c>
      <c r="L73" s="4">
        <v>-1.7268947873361196E-2</v>
      </c>
      <c r="M73" s="4">
        <v>2.7072192513368787E-2</v>
      </c>
    </row>
    <row r="74" spans="1:13">
      <c r="A74" s="34" t="s">
        <v>302</v>
      </c>
      <c r="B74" s="32" t="s">
        <v>339</v>
      </c>
      <c r="C74" t="s">
        <v>138</v>
      </c>
      <c r="D74" s="137">
        <v>1.5961691939345712E-3</v>
      </c>
      <c r="E74" s="4">
        <v>6.8539804171988239E-2</v>
      </c>
      <c r="I74" t="str">
        <v>https://www.insee.fr/fr/statistiques/serie/011816634</v>
      </c>
      <c r="J74" t="str">
        <v>011816634</v>
      </c>
      <c r="K74" t="str">
        <v>Gazole</v>
      </c>
      <c r="L74" s="4">
        <v>-2.3978982565082463E-2</v>
      </c>
      <c r="M74" s="4">
        <v>-6.3780068728522377E-2</v>
      </c>
    </row>
    <row r="75" spans="1:13">
      <c r="A75" s="34" t="s">
        <v>303</v>
      </c>
      <c r="B75" s="32" t="s">
        <v>340</v>
      </c>
      <c r="C75" t="s">
        <v>139</v>
      </c>
      <c r="D75" s="137">
        <v>9.8332620778110114E-2</v>
      </c>
      <c r="E75" s="4">
        <v>9.505541346973545E-2</v>
      </c>
      <c r="I75" t="str">
        <v>https://www.insee.fr/fr/statistiques/serie/010763825</v>
      </c>
      <c r="J75" t="str">
        <v>010763825</v>
      </c>
      <c r="K75" t="str">
        <v>Peintures Industries</v>
      </c>
      <c r="L75" s="4">
        <v>-2.8910303928836201E-2</v>
      </c>
      <c r="M75" s="4">
        <v>-5.6535830032409029E-2</v>
      </c>
    </row>
    <row r="76" spans="1:13">
      <c r="A76" s="34" t="s">
        <v>304</v>
      </c>
      <c r="B76" s="32" t="s">
        <v>341</v>
      </c>
      <c r="C76" t="s">
        <v>140</v>
      </c>
      <c r="D76" s="137">
        <v>0.14835164835164849</v>
      </c>
      <c r="E76" s="4">
        <v>0.13729593972373411</v>
      </c>
      <c r="I76" t="str">
        <v>https://www.insee.fr/fr/statistiques/serie/010764160</v>
      </c>
      <c r="J76" t="str">
        <v>010764160</v>
      </c>
      <c r="K76" t="str">
        <v>Plaques, feuilles, tubes et profilés en matières plastiques</v>
      </c>
      <c r="L76" s="4">
        <v>-2.9864675688287434E-2</v>
      </c>
      <c r="M76" s="4">
        <v>-2.9864675688287434E-2</v>
      </c>
    </row>
    <row r="77" spans="1:13">
      <c r="A77" s="34" t="s">
        <v>318</v>
      </c>
      <c r="B77" s="32" t="s">
        <v>342</v>
      </c>
      <c r="C77" t="s">
        <v>141</v>
      </c>
      <c r="D77" s="137">
        <v>-6.5696855936180354E-3</v>
      </c>
      <c r="E77" s="4">
        <v>-1.5806601580660273E-2</v>
      </c>
      <c r="I77" t="str">
        <v>https://www.fntp.fr/sites/default/files/content/indice_gazole_htt.pdf</v>
      </c>
      <c r="J77" t="str">
        <v>Gazole routier HTT</v>
      </c>
      <c r="K77" t="str">
        <v>Gazole routier HTT</v>
      </c>
      <c r="L77" s="4">
        <v>-4.2378998190626294E-2</v>
      </c>
      <c r="M77" s="4">
        <v>-0.11250648078806358</v>
      </c>
    </row>
    <row r="78" spans="1:13">
      <c r="A78" s="34" t="s">
        <v>305</v>
      </c>
      <c r="B78" s="32" t="s">
        <v>343</v>
      </c>
      <c r="C78" t="s">
        <v>142</v>
      </c>
      <c r="D78" s="137">
        <v>-5.4888507718696355E-2</v>
      </c>
      <c r="E78" s="4">
        <v>-0.17597208374875373</v>
      </c>
      <c r="I78" t="str">
        <v>https://www.insee.fr/fr/statistiques/serie/010764149</v>
      </c>
      <c r="J78" t="str">
        <v>010764149</v>
      </c>
      <c r="K78" t="str">
        <v>Autres produits chimiques</v>
      </c>
      <c r="L78" s="4">
        <v>-4.8284625158831029E-2</v>
      </c>
      <c r="M78" s="4">
        <v>3.1680440771349794E-2</v>
      </c>
    </row>
    <row r="79" spans="1:13">
      <c r="A79" s="34" t="s">
        <v>306</v>
      </c>
      <c r="B79" s="32" t="s">
        <v>344</v>
      </c>
      <c r="C79" t="s">
        <v>143</v>
      </c>
      <c r="D79" s="137">
        <v>-2.8910303928836201E-2</v>
      </c>
      <c r="E79" s="4">
        <v>-5.6535830032409029E-2</v>
      </c>
      <c r="I79" t="str">
        <v>https://www.insee.fr/fr/statistiques/serie/010764834</v>
      </c>
      <c r="J79" t="str">
        <v>010764834</v>
      </c>
      <c r="K79" t="str">
        <v>Câbles de fibres optiques</v>
      </c>
      <c r="L79" s="4">
        <v>-5.4888507718696355E-2</v>
      </c>
      <c r="M79" s="4">
        <v>-0.17597208374875373</v>
      </c>
    </row>
    <row r="80" spans="1:13">
      <c r="A80" s="34" t="s">
        <v>307</v>
      </c>
      <c r="B80" s="32" t="s">
        <v>345</v>
      </c>
      <c r="C80" t="s">
        <v>144</v>
      </c>
      <c r="D80" s="137">
        <v>4.8205677557580096E-3</v>
      </c>
      <c r="E80" s="4">
        <v>-4.6263345195729499E-2</v>
      </c>
      <c r="I80" t="str">
        <v>https://www.insee.fr/fr/statistiques/serie/010764143</v>
      </c>
      <c r="J80" t="str">
        <v>010764143</v>
      </c>
      <c r="K80" t="str">
        <v>Matières plastiques sous formes primaires</v>
      </c>
      <c r="L80" s="4">
        <v>-0.10911016949152552</v>
      </c>
      <c r="M80" s="4">
        <v>-9.4725511302475862E-2</v>
      </c>
    </row>
    <row r="81" spans="1:42">
      <c r="A81" s="34" t="s">
        <v>308</v>
      </c>
      <c r="B81" s="32" t="s">
        <v>346</v>
      </c>
      <c r="C81" t="s">
        <v>145</v>
      </c>
      <c r="D81" s="137">
        <v>3.6002482929857083E-2</v>
      </c>
      <c r="E81" s="4">
        <v>-5.546123372948486E-2</v>
      </c>
      <c r="I81" t="str">
        <v>https://www.insee.fr/fr/statistiques/serie/010764291</v>
      </c>
      <c r="J81" t="str">
        <v>010764291</v>
      </c>
      <c r="K81" t="str">
        <v>Électricité vendue aux entreprises consommatrices finales</v>
      </c>
      <c r="L81" s="4">
        <v>-0.12597741094700277</v>
      </c>
      <c r="M81" s="4">
        <v>-0.24981357196122311</v>
      </c>
    </row>
    <row r="82" spans="1:42">
      <c r="A82" s="34" t="s">
        <v>309</v>
      </c>
      <c r="B82" s="32" t="s">
        <v>347</v>
      </c>
      <c r="C82" t="s">
        <v>148</v>
      </c>
      <c r="D82" s="137">
        <v>2.5380710659899108E-3</v>
      </c>
      <c r="E82" s="4">
        <v>2.5530073561228717E-2</v>
      </c>
      <c r="I82" t="str">
        <v>https://www.insee.fr/fr/statistiques/serie/010764136</v>
      </c>
      <c r="J82" t="str">
        <v>010764136</v>
      </c>
      <c r="K82" t="str">
        <v>Bitume</v>
      </c>
      <c r="L82" s="4">
        <v>-0.22037914691943117</v>
      </c>
      <c r="M82" s="4">
        <v>-0.12188612099644125</v>
      </c>
    </row>
    <row r="83" spans="1:42">
      <c r="A83" s="34" t="s">
        <v>310</v>
      </c>
      <c r="B83" s="32" t="s">
        <v>348</v>
      </c>
      <c r="C83" t="s">
        <v>149</v>
      </c>
      <c r="D83" s="137">
        <v>1.418115279048493E-2</v>
      </c>
      <c r="E83" s="4">
        <v>3.0204460966542834E-2</v>
      </c>
      <c r="I83" t="str">
        <v>https://www.insee.fr/fr/statistiques/serie/010764297</v>
      </c>
      <c r="J83" t="str">
        <v>010764297</v>
      </c>
      <c r="K83" t="str">
        <v>Gaz naturel</v>
      </c>
      <c r="L83" s="4">
        <v>-0.33551769331585823</v>
      </c>
      <c r="M83" s="4">
        <v>5.9523809523811533E-3</v>
      </c>
    </row>
    <row r="84" spans="1:42">
      <c r="A84" s="34"/>
      <c r="B84" s="32"/>
      <c r="D84" s="137"/>
      <c r="E84" s="4"/>
      <c r="L84" s="4"/>
      <c r="M84" s="4"/>
    </row>
    <row r="85" spans="1:42">
      <c r="A85" s="34"/>
      <c r="B85" s="32"/>
      <c r="D85" s="137"/>
      <c r="E85" s="4"/>
      <c r="L85" s="4"/>
      <c r="M85" s="4"/>
    </row>
    <row r="87" spans="1:42">
      <c r="C87" t="str">
        <f>'A MODIFIER'!A10</f>
        <v>*/2025</v>
      </c>
      <c r="D87" s="5">
        <f>('CUMULS INDICES'!B20/'CUMULS INDICES'!B36)-1</f>
        <v>1.6459253311922994E-2</v>
      </c>
      <c r="E87" s="5">
        <f>('CUMULS INDICES'!C20/'CUMULS INDICES'!C36)-1</f>
        <v>3.2774945375090958E-2</v>
      </c>
      <c r="F87" s="5">
        <f>('CUMULS INDICES'!D20/'CUMULS INDICES'!D36)-1</f>
        <v>2.1892393320964709E-2</v>
      </c>
      <c r="G87" s="5">
        <f>('CUMULS INDICES'!E20/'CUMULS INDICES'!E36)-1</f>
        <v>-1.7268947873361196E-2</v>
      </c>
      <c r="H87" s="5">
        <f>('CUMULS INDICES'!F20/'CUMULS INDICES'!F36)-1</f>
        <v>-2.3978982565082463E-2</v>
      </c>
      <c r="I87" s="5">
        <f>('CUMULS INDICES'!G20/'CUMULS INDICES'!G36)-1</f>
        <v>1.6891891891890332E-3</v>
      </c>
      <c r="J87" s="5">
        <f>('CUMULS INDICES'!H20/'CUMULS INDICES'!H36)-1</f>
        <v>1.7813765182186359E-2</v>
      </c>
      <c r="K87" s="5">
        <f>('CUMULS INDICES'!I20/'CUMULS INDICES'!I36)-1</f>
        <v>-0.12597741094700277</v>
      </c>
      <c r="L87" s="5">
        <f>('CUMULS INDICES'!J20/'CUMULS INDICES'!J36)-1</f>
        <v>-0.33551769331585823</v>
      </c>
      <c r="M87" s="5">
        <f>('CUMULS INDICES'!K20/'CUMULS INDICES'!K36)-1</f>
        <v>-4.2378998190626294E-2</v>
      </c>
      <c r="N87" s="5">
        <f>('CUMULS INDICES'!L20/'CUMULS INDICES'!L36)-1</f>
        <v>-1.0329562223315381E-2</v>
      </c>
      <c r="O87" s="5">
        <f>('CUMULS INDICES'!M20/'CUMULS INDICES'!M36)-1</f>
        <v>2.6600541027953062E-2</v>
      </c>
      <c r="P87" s="5">
        <f>('CUMULS INDICES'!N20/'CUMULS INDICES'!N36)-1</f>
        <v>2.1423106350420884E-2</v>
      </c>
      <c r="Q87" s="5">
        <f>('CUMULS INDICES'!O20/'CUMULS INDICES'!O36)-1</f>
        <v>-1.2658227848101333E-2</v>
      </c>
      <c r="R87" s="5">
        <f>('CUMULS INDICES'!P20/'CUMULS INDICES'!P36)-1</f>
        <v>5.1391862955032508E-3</v>
      </c>
      <c r="S87" s="5">
        <f>('CUMULS INDICES'!Q20/'CUMULS INDICES'!Q36)-1</f>
        <v>-2.9864675688287434E-2</v>
      </c>
      <c r="T87" s="5">
        <f>('CUMULS INDICES'!R20/'CUMULS INDICES'!R36)-1</f>
        <v>1.9741320626276426E-2</v>
      </c>
      <c r="U87" s="5">
        <f>('CUMULS INDICES'!S20/'CUMULS INDICES'!S36)-1</f>
        <v>-4.8284625158831029E-2</v>
      </c>
      <c r="V87" s="5">
        <f>('CUMULS INDICES'!T20/'CUMULS INDICES'!T36)-1</f>
        <v>-1.2672176308540006E-2</v>
      </c>
      <c r="W87" s="5">
        <f>('CUMULS INDICES'!U20/'CUMULS INDICES'!U36)-1</f>
        <v>-0.22037914691943117</v>
      </c>
      <c r="X87" s="5">
        <f>('CUMULS INDICES'!V20/'CUMULS INDICES'!V36)-1</f>
        <v>5.1181102362205522E-3</v>
      </c>
      <c r="Y87" s="5">
        <f>('CUMULS INDICES'!W20/'CUMULS INDICES'!W36)-1</f>
        <v>-1.0789814415192112E-2</v>
      </c>
      <c r="Z87" s="5">
        <f>('CUMULS INDICES'!X20/'CUMULS INDICES'!X36)-1</f>
        <v>3.1262211801486028E-3</v>
      </c>
      <c r="AA87" s="5">
        <f>('CUMULS INDICES'!Y20/'CUMULS INDICES'!Y36)-1</f>
        <v>-1.145311381531855E-2</v>
      </c>
      <c r="AB87" s="5">
        <f>('CUMULS INDICES'!Z20/'CUMULS INDICES'!Z36)-1</f>
        <v>3.910833007432224E-4</v>
      </c>
      <c r="AC87" s="5">
        <f>('CUMULS INDICES'!AA20/'CUMULS INDICES'!AA36)-1</f>
        <v>2.9986962190352129E-2</v>
      </c>
      <c r="AD87" s="5">
        <f>('CUMULS INDICES'!AB20/'CUMULS INDICES'!AB36)-1</f>
        <v>-0.10911016949152552</v>
      </c>
      <c r="AE87" s="5">
        <f>('CUMULS INDICES'!AC20/'CUMULS INDICES'!AC36)-1</f>
        <v>-1.2315270935960521E-2</v>
      </c>
      <c r="AF87" s="5">
        <f>('CUMULS INDICES'!AD20/'CUMULS INDICES'!AD36)-1</f>
        <v>8.8719898605831293E-3</v>
      </c>
      <c r="AG87" s="5">
        <f>('CUMULS INDICES'!AE20/'CUMULS INDICES'!AE36)-1</f>
        <v>1.5961691939345712E-3</v>
      </c>
      <c r="AH87" s="5">
        <f>('CUMULS INDICES'!AF20/'CUMULS INDICES'!AF36)-1</f>
        <v>9.8332620778110114E-2</v>
      </c>
      <c r="AI87" s="5">
        <f>('CUMULS INDICES'!AG20/'CUMULS INDICES'!AG36)-1</f>
        <v>0.14835164835164849</v>
      </c>
      <c r="AJ87" s="5">
        <f>('CUMULS INDICES'!AH20/'CUMULS INDICES'!AH36)-1</f>
        <v>-6.5696855936180354E-3</v>
      </c>
      <c r="AK87" s="5">
        <f>('CUMULS INDICES'!AI20/'CUMULS INDICES'!AI36)-1</f>
        <v>-5.4888507718696355E-2</v>
      </c>
      <c r="AL87" s="5">
        <f>('CUMULS INDICES'!AJ20/'CUMULS INDICES'!AJ36)-1</f>
        <v>-2.8910303928836201E-2</v>
      </c>
      <c r="AM87" s="5">
        <f>('CUMULS INDICES'!AK20/'CUMULS INDICES'!AK36)-1</f>
        <v>4.8205677557580096E-3</v>
      </c>
      <c r="AN87" s="5">
        <f>('CUMULS INDICES'!AL20/'CUMULS INDICES'!AL36)-1</f>
        <v>3.6002482929857083E-2</v>
      </c>
      <c r="AO87" s="5">
        <f>('CUMULS INDICES'!AM20/'CUMULS INDICES'!AM36)-1</f>
        <v>2.5380710659899108E-3</v>
      </c>
      <c r="AP87" s="5">
        <f>('CUMULS INDICES'!AN20/'CUMULS INDICES'!AN36)-1</f>
        <v>1.418115279048493E-2</v>
      </c>
    </row>
    <row r="88" spans="1:42">
      <c r="C88" t="str">
        <f>'A MODIFIER'!A9</f>
        <v>*/2024</v>
      </c>
      <c r="D88" s="5">
        <f>('CUMULS INDICES'!B20/'CUMULS INDICES'!B52)-1</f>
        <v>2.0556227327690468E-2</v>
      </c>
      <c r="E88" s="5">
        <f>('CUMULS INDICES'!C20/'CUMULS INDICES'!C52)-1</f>
        <v>6.9381598793363697E-2</v>
      </c>
      <c r="F88" s="5">
        <f>('CUMULS INDICES'!D20/'CUMULS INDICES'!D52)-1</f>
        <v>4.8743335872048599E-2</v>
      </c>
      <c r="G88" s="5">
        <f>('CUMULS INDICES'!E20/'CUMULS INDICES'!E52)-1</f>
        <v>2.7072192513368787E-2</v>
      </c>
      <c r="H88" s="5">
        <f>('CUMULS INDICES'!F20/'CUMULS INDICES'!F52)-1</f>
        <v>-6.3780068728522377E-2</v>
      </c>
      <c r="I88" s="5">
        <f>('CUMULS INDICES'!G20/'CUMULS INDICES'!G52)-1</f>
        <v>1.1082693947144007E-2</v>
      </c>
      <c r="J88" s="5">
        <f>('CUMULS INDICES'!H20/'CUMULS INDICES'!H52)-1</f>
        <v>1.3709677419354804E-2</v>
      </c>
      <c r="K88" s="5">
        <f>('CUMULS INDICES'!I20/'CUMULS INDICES'!I52)-1</f>
        <v>-0.24981357196122311</v>
      </c>
      <c r="L88" s="5">
        <f>('CUMULS INDICES'!J20/'CUMULS INDICES'!J52)-1</f>
        <v>5.9523809523811533E-3</v>
      </c>
      <c r="M88" s="5">
        <f>('CUMULS INDICES'!K20/'CUMULS INDICES'!K52)-1</f>
        <v>-0.11250648078806358</v>
      </c>
      <c r="N88" s="5">
        <f>('CUMULS INDICES'!L20/'CUMULS INDICES'!L52)-1</f>
        <v>-7.5792374827744591E-2</v>
      </c>
      <c r="O88" s="5">
        <f>('CUMULS INDICES'!M20/'CUMULS INDICES'!M52)-1</f>
        <v>6.5014031805425532E-2</v>
      </c>
      <c r="P88" s="5">
        <f>('CUMULS INDICES'!N20/'CUMULS INDICES'!N52)-1</f>
        <v>2.8505392912172578E-2</v>
      </c>
      <c r="Q88" s="5">
        <f>('CUMULS INDICES'!O20/'CUMULS INDICES'!O52)-1</f>
        <v>-5.4545454545454564E-2</v>
      </c>
      <c r="R88" s="5">
        <f>('CUMULS INDICES'!P20/'CUMULS INDICES'!P52)-1</f>
        <v>-2.9736618521666314E-3</v>
      </c>
      <c r="S88" s="5">
        <f>('CUMULS INDICES'!Q20/'CUMULS INDICES'!Q52)-1</f>
        <v>-2.9864675688287434E-2</v>
      </c>
      <c r="T88" s="5">
        <f>('CUMULS INDICES'!R20/'CUMULS INDICES'!R52)-1</f>
        <v>3.345981372887219E-2</v>
      </c>
      <c r="U88" s="5">
        <f>('CUMULS INDICES'!S20/'CUMULS INDICES'!S52)-1</f>
        <v>3.1680440771349794E-2</v>
      </c>
      <c r="V88" s="5">
        <f>('CUMULS INDICES'!T20/'CUMULS INDICES'!T52)-1</f>
        <v>-4.9840933191940828E-2</v>
      </c>
      <c r="W88" s="5">
        <f>('CUMULS INDICES'!U20/'CUMULS INDICES'!U52)-1</f>
        <v>-0.12188612099644125</v>
      </c>
      <c r="X88" s="5">
        <f>('CUMULS INDICES'!V20/'CUMULS INDICES'!V52)-1</f>
        <v>5.5139818826310805E-3</v>
      </c>
      <c r="Y88" s="5">
        <f>('CUMULS INDICES'!W20/'CUMULS INDICES'!W52)-1</f>
        <v>-1.1216566005176953E-2</v>
      </c>
      <c r="Z88" s="5">
        <f>('CUMULS INDICES'!X20/'CUMULS INDICES'!X52)-1</f>
        <v>-2.3319082782742306E-3</v>
      </c>
      <c r="AA88" s="5">
        <f>('CUMULS INDICES'!Y20/'CUMULS INDICES'!Y52)-1</f>
        <v>-2.888086642599319E-3</v>
      </c>
      <c r="AB88" s="5">
        <f>('CUMULS INDICES'!Z20/'CUMULS INDICES'!Z52)-1</f>
        <v>3.1372549019608176E-3</v>
      </c>
      <c r="AC88" s="5">
        <f>('CUMULS INDICES'!AA20/'CUMULS INDICES'!AA52)-1</f>
        <v>5.1930758988016024E-2</v>
      </c>
      <c r="AD88" s="5">
        <f>('CUMULS INDICES'!AB20/'CUMULS INDICES'!AB52)-1</f>
        <v>-9.4725511302475862E-2</v>
      </c>
      <c r="AE88" s="5">
        <f>('CUMULS INDICES'!AC20/'CUMULS INDICES'!AC52)-1</f>
        <v>-4.7505938242280221E-2</v>
      </c>
      <c r="AF88" s="5">
        <f>('CUMULS INDICES'!AD20/'CUMULS INDICES'!AD52)-1</f>
        <v>-2.6894865525672329E-2</v>
      </c>
      <c r="AG88" s="5">
        <f>('CUMULS INDICES'!AE20/'CUMULS INDICES'!AE52)-1</f>
        <v>6.8539804171988239E-2</v>
      </c>
      <c r="AH88" s="5">
        <f>('CUMULS INDICES'!AF20/'CUMULS INDICES'!AF52)-1</f>
        <v>9.505541346973545E-2</v>
      </c>
      <c r="AI88" s="5">
        <f>('CUMULS INDICES'!AG20/'CUMULS INDICES'!AG52)-1</f>
        <v>0.13729593972373411</v>
      </c>
      <c r="AJ88" s="5">
        <f>('CUMULS INDICES'!AH20/'CUMULS INDICES'!AH52)-1</f>
        <v>-1.5806601580660273E-2</v>
      </c>
      <c r="AK88" s="5">
        <f>('CUMULS INDICES'!AI20/'CUMULS INDICES'!AI52)-1</f>
        <v>-0.17597208374875373</v>
      </c>
      <c r="AL88" s="5">
        <f>('CUMULS INDICES'!AJ20/'CUMULS INDICES'!AJ52)-1</f>
        <v>-5.6535830032409029E-2</v>
      </c>
      <c r="AM88" s="5">
        <f>('CUMULS INDICES'!AK20/'CUMULS INDICES'!AK52)-1</f>
        <v>-4.6263345195729499E-2</v>
      </c>
      <c r="AN88" s="5">
        <f>('CUMULS INDICES'!AL20/'CUMULS INDICES'!AL52)-1</f>
        <v>-5.546123372948486E-2</v>
      </c>
      <c r="AO88" s="5">
        <f>('CUMULS INDICES'!AM20/'CUMULS INDICES'!AM52)-1</f>
        <v>2.5530073561228717E-2</v>
      </c>
      <c r="AP88" s="5">
        <f>('CUMULS INDICES'!AN20/'CUMULS INDICES'!AN52)-1</f>
        <v>3.0204460966542834E-2</v>
      </c>
    </row>
  </sheetData>
  <sheetProtection algorithmName="SHA-512" hashValue="RVgeacJf3qYwW7fpq6DiSqcASM0aFzv12TuG1W1eXQS/5SHjk/d0itep1B9gFwXMlxNU/223AnjR21f8imfTRg==" saltValue="ycXajOIKSZ7QAoak1tgafw=="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9" r:id="rId8" xr:uid="{469FD07E-63F2-4F63-8971-276C49F6C1C5}"/>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5" t="s">
        <v>183</v>
      </c>
      <c r="C1" s="235"/>
      <c r="D1" s="235"/>
      <c r="E1" s="235"/>
      <c r="F1" s="235"/>
      <c r="G1" s="235"/>
      <c r="H1" s="235"/>
      <c r="I1" s="235"/>
      <c r="J1" s="235"/>
      <c r="K1" s="235"/>
      <c r="L1" s="235"/>
      <c r="M1" s="235"/>
    </row>
    <row r="2" spans="1:25">
      <c r="E2" s="22"/>
      <c r="F2" s="22"/>
      <c r="G2" s="22"/>
      <c r="H2" s="22"/>
      <c r="J2" s="3" t="str" cm="1">
        <f t="array" ref="J2:J3">'A MODIFIER'!A7:A8</f>
        <v>*3 mois = Cumul déc 2025-févr 2026 / Cumul sept 2025-nov 2025</v>
      </c>
    </row>
    <row r="3" spans="1:25">
      <c r="A3" s="115"/>
      <c r="E3" s="22"/>
      <c r="F3" s="22"/>
      <c r="G3" s="22"/>
      <c r="H3" s="22"/>
      <c r="J3" s="3" t="str">
        <v>*6 mois = Cumul sept 2025-févr 2026 / Cumul mars 2025-août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7" t="s">
        <v>186</v>
      </c>
      <c r="C7" s="235"/>
      <c r="D7" s="235"/>
      <c r="E7" s="235"/>
      <c r="J7" s="237" t="s">
        <v>185</v>
      </c>
      <c r="K7" s="237"/>
      <c r="L7" s="237"/>
      <c r="M7" s="237"/>
    </row>
    <row r="8" spans="1:25">
      <c r="D8" t="s">
        <v>39</v>
      </c>
      <c r="E8" t="s">
        <v>40</v>
      </c>
      <c r="L8" s="21" t="s">
        <v>39</v>
      </c>
      <c r="M8" s="21" t="s">
        <v>40</v>
      </c>
    </row>
    <row r="9" spans="1:25">
      <c r="A9" s="116" t="s">
        <v>203</v>
      </c>
      <c r="B9" t="s">
        <v>19</v>
      </c>
      <c r="C9" t="s">
        <v>0</v>
      </c>
      <c r="D9" s="5" cm="1">
        <f t="array" ref="D9:D32">TRANSPOSE(D36:AA36)</f>
        <v>4.8469387755103455E-3</v>
      </c>
      <c r="E9" s="5" cm="1">
        <f t="array" ref="E9:E32">TRANSPOSE(D37:AA37)</f>
        <v>-1.016906063302514E-3</v>
      </c>
      <c r="J9" t="str" cm="1">
        <f t="array" ref="J9:M32">_xlfn._xlws.SORT(B9:E32,3,-1,FALSE)</f>
        <v>TP13b</v>
      </c>
      <c r="K9" t="str">
        <v>Charpentes et ouvrages d'art métalliques sans fourniture des aciers</v>
      </c>
      <c r="L9">
        <v>1.9775390625E-2</v>
      </c>
      <c r="M9">
        <v>1.5590473852197251E-2</v>
      </c>
    </row>
    <row r="10" spans="1:25">
      <c r="A10" s="116" t="s">
        <v>204</v>
      </c>
      <c r="B10" t="s">
        <v>20</v>
      </c>
      <c r="C10" t="s">
        <v>1</v>
      </c>
      <c r="D10" s="5">
        <v>9.5776031434184894E-3</v>
      </c>
      <c r="E10" s="5">
        <v>7.6345277675162748E-3</v>
      </c>
      <c r="J10" t="str">
        <v>TP12a</v>
      </c>
      <c r="K10" t="str">
        <v>Réseaux d'énergie et de communication</v>
      </c>
      <c r="L10">
        <v>1.7950635751682986E-2</v>
      </c>
      <c r="M10">
        <v>1.5430937147158597E-2</v>
      </c>
    </row>
    <row r="11" spans="1:25">
      <c r="A11" s="116" t="s">
        <v>205</v>
      </c>
      <c r="B11" t="s">
        <v>21</v>
      </c>
      <c r="C11" t="s">
        <v>2</v>
      </c>
      <c r="D11" s="5">
        <v>8.7412587412585285E-3</v>
      </c>
      <c r="E11" s="5">
        <v>8.0210552700838988E-3</v>
      </c>
      <c r="J11" t="str">
        <v>TP03b</v>
      </c>
      <c r="K11" t="str">
        <v>Travaux à l’explosif</v>
      </c>
      <c r="L11">
        <v>1.5043996593812059E-2</v>
      </c>
      <c r="M11">
        <v>9.8702763677382954E-4</v>
      </c>
    </row>
    <row r="12" spans="1:25">
      <c r="A12" s="33" t="s">
        <v>254</v>
      </c>
      <c r="B12" t="s">
        <v>22</v>
      </c>
      <c r="C12" t="s">
        <v>3</v>
      </c>
      <c r="D12" s="5">
        <v>1.5043996593812059E-2</v>
      </c>
      <c r="E12" s="5">
        <v>9.8702763677382954E-4</v>
      </c>
      <c r="J12" t="str">
        <v>TP05b</v>
      </c>
      <c r="K12" t="str">
        <v xml:space="preserve">Travaux en souterrains avec tunnelier </v>
      </c>
      <c r="L12">
        <v>1.3779527559055094E-2</v>
      </c>
      <c r="M12">
        <v>8.2542811383516934E-3</v>
      </c>
    </row>
    <row r="13" spans="1:25">
      <c r="A13" s="116" t="s">
        <v>206</v>
      </c>
      <c r="B13" t="s">
        <v>23</v>
      </c>
      <c r="C13" t="s">
        <v>4</v>
      </c>
      <c r="D13" s="5">
        <v>1.1346444780635512E-2</v>
      </c>
      <c r="E13" s="5">
        <v>5.0396875393723395E-3</v>
      </c>
      <c r="J13" t="str">
        <v>TP12d</v>
      </c>
      <c r="K13" t="str">
        <v>Réseaux de communication en fibre optique</v>
      </c>
      <c r="L13">
        <v>1.2211308733740545E-2</v>
      </c>
      <c r="M13">
        <v>1.5949604610641988E-2</v>
      </c>
    </row>
    <row r="14" spans="1:25">
      <c r="A14" s="116" t="s">
        <v>207</v>
      </c>
      <c r="B14" t="s">
        <v>24</v>
      </c>
      <c r="C14" t="s">
        <v>5</v>
      </c>
      <c r="D14" s="5">
        <v>1.0638297872340496E-2</v>
      </c>
      <c r="E14" s="5">
        <v>6.9384215091063961E-3</v>
      </c>
      <c r="J14" t="str">
        <v>TP07b</v>
      </c>
      <c r="K14" t="str">
        <v>Travaux de génie civil, béton et acier pour ouvrages maritimes et fluviaux</v>
      </c>
      <c r="L14">
        <v>1.1625030917635337E-2</v>
      </c>
      <c r="M14">
        <v>6.9332673022159952E-3</v>
      </c>
    </row>
    <row r="15" spans="1:25">
      <c r="A15" s="116" t="s">
        <v>208</v>
      </c>
      <c r="B15" t="s">
        <v>25</v>
      </c>
      <c r="C15" t="s">
        <v>6</v>
      </c>
      <c r="D15" s="5">
        <v>1.3779527559055094E-2</v>
      </c>
      <c r="E15" s="5">
        <v>8.2542811383516934E-3</v>
      </c>
      <c r="J15" t="str">
        <v>TP04</v>
      </c>
      <c r="K15" t="str">
        <v xml:space="preserve">Fondations et travaux géotechniques </v>
      </c>
      <c r="L15">
        <v>1.1346444780635512E-2</v>
      </c>
      <c r="M15">
        <v>5.0396875393723395E-3</v>
      </c>
    </row>
    <row r="16" spans="1:25">
      <c r="A16" s="116" t="s">
        <v>209</v>
      </c>
      <c r="B16" t="s">
        <v>26</v>
      </c>
      <c r="C16" t="s">
        <v>7</v>
      </c>
      <c r="D16" s="5">
        <v>3.1538088306648504E-3</v>
      </c>
      <c r="E16" s="5">
        <v>1.1763264305844956E-2</v>
      </c>
      <c r="J16" t="str">
        <v>TP05a</v>
      </c>
      <c r="K16" t="str">
        <v xml:space="preserve">Travaux en souterrains traditionnels </v>
      </c>
      <c r="L16">
        <v>1.0638297872340496E-2</v>
      </c>
      <c r="M16">
        <v>6.9384215091063961E-3</v>
      </c>
    </row>
    <row r="17" spans="1:13">
      <c r="A17" s="116" t="s">
        <v>210</v>
      </c>
      <c r="B17" t="s">
        <v>27</v>
      </c>
      <c r="C17" t="s">
        <v>8</v>
      </c>
      <c r="D17" s="5">
        <v>7.5853350189634128E-3</v>
      </c>
      <c r="E17" s="5">
        <v>1.0949834479246023E-2</v>
      </c>
      <c r="J17" t="str">
        <v>TP02</v>
      </c>
      <c r="K17" t="str">
        <v>Travaux de génie civil et d’ouvrages d’art neufs ou rénovation</v>
      </c>
      <c r="L17">
        <v>9.5776031434184894E-3</v>
      </c>
      <c r="M17">
        <v>7.6345277675162748E-3</v>
      </c>
    </row>
    <row r="18" spans="1:13">
      <c r="A18" s="116" t="s">
        <v>211</v>
      </c>
      <c r="B18" t="s">
        <v>28</v>
      </c>
      <c r="C18" t="s">
        <v>275</v>
      </c>
      <c r="D18" s="5">
        <v>1.1625030917635337E-2</v>
      </c>
      <c r="E18" s="5">
        <v>6.9332673022159952E-3</v>
      </c>
      <c r="J18" t="str">
        <v>TP03a</v>
      </c>
      <c r="K18" t="str">
        <v>Grands terrassements</v>
      </c>
      <c r="L18">
        <v>8.7412587412585285E-3</v>
      </c>
      <c r="M18">
        <v>8.0210552700838988E-3</v>
      </c>
    </row>
    <row r="19" spans="1:13">
      <c r="A19" s="116" t="s">
        <v>212</v>
      </c>
      <c r="B19" t="s">
        <v>29</v>
      </c>
      <c r="C19" t="s">
        <v>350</v>
      </c>
      <c r="D19" s="5">
        <v>0</v>
      </c>
      <c r="E19" s="5">
        <v>-1.1056826947801413E-2</v>
      </c>
      <c r="J19" t="str">
        <v>TP10b</v>
      </c>
      <c r="K19" t="str">
        <v>Canalisations sans fourniture de tuyaux</v>
      </c>
      <c r="L19">
        <v>8.2644628099173278E-3</v>
      </c>
      <c r="M19">
        <v>8.5523833480065647E-3</v>
      </c>
    </row>
    <row r="20" spans="1:13">
      <c r="A20" s="116" t="s">
        <v>213</v>
      </c>
      <c r="B20" t="s">
        <v>30</v>
      </c>
      <c r="C20" t="s">
        <v>9</v>
      </c>
      <c r="D20" s="5">
        <v>-1.4172799127827762E-2</v>
      </c>
      <c r="E20" s="5">
        <v>-3.9673125082377636E-2</v>
      </c>
      <c r="J20" t="str">
        <v>TP06b</v>
      </c>
      <c r="K20" t="str">
        <v>Dragages fluviaux et petits dragages maritimes</v>
      </c>
      <c r="L20">
        <v>7.5853350189634128E-3</v>
      </c>
      <c r="M20">
        <v>1.0949834479246023E-2</v>
      </c>
    </row>
    <row r="21" spans="1:13">
      <c r="A21" s="116" t="s">
        <v>214</v>
      </c>
      <c r="B21" t="s">
        <v>31</v>
      </c>
      <c r="C21" t="s">
        <v>10</v>
      </c>
      <c r="D21" s="5">
        <v>8.2644628099173278E-3</v>
      </c>
      <c r="E21" s="5">
        <v>8.5523833480065647E-3</v>
      </c>
      <c r="J21" t="str">
        <v>TP12c</v>
      </c>
      <c r="K21" t="str">
        <v>Éclairage public - Travaux  de maintenance</v>
      </c>
      <c r="L21">
        <v>5.6410256410255322E-3</v>
      </c>
      <c r="M21">
        <v>8.8997807300401632E-3</v>
      </c>
    </row>
    <row r="22" spans="1:13">
      <c r="A22" s="116" t="s">
        <v>215</v>
      </c>
      <c r="B22" t="s">
        <v>32</v>
      </c>
      <c r="C22" t="s">
        <v>11</v>
      </c>
      <c r="D22" s="5">
        <v>-3.3453422542459865E-3</v>
      </c>
      <c r="E22" s="5">
        <v>-1.1718252451916822E-2</v>
      </c>
      <c r="J22" t="str">
        <v>TP13a</v>
      </c>
      <c r="K22" t="str">
        <v>Charpentes et ouvrages d'art métalliques</v>
      </c>
      <c r="L22">
        <v>4.9538392253996033E-3</v>
      </c>
      <c r="M22">
        <v>-8.4632516703786465E-3</v>
      </c>
    </row>
    <row r="23" spans="1:13">
      <c r="A23" s="178" t="s">
        <v>216</v>
      </c>
      <c r="B23" t="s">
        <v>33</v>
      </c>
      <c r="C23" t="s">
        <v>12</v>
      </c>
      <c r="D23" s="5">
        <v>2.1152829190902445E-3</v>
      </c>
      <c r="E23" s="5">
        <v>5.9784774810680563E-3</v>
      </c>
      <c r="J23" t="str">
        <v>TP01</v>
      </c>
      <c r="K23" t="str">
        <v>Index général tous travaux</v>
      </c>
      <c r="L23">
        <v>4.8469387755103455E-3</v>
      </c>
      <c r="M23">
        <v>-1.016906063302514E-3</v>
      </c>
    </row>
    <row r="24" spans="1:13">
      <c r="A24" s="178" t="s">
        <v>314</v>
      </c>
      <c r="B24" t="s">
        <v>269</v>
      </c>
      <c r="C24" t="s">
        <v>276</v>
      </c>
      <c r="D24" s="5">
        <v>3.3470648815656645E-3</v>
      </c>
      <c r="E24" s="5">
        <v>1.8024977468777958E-3</v>
      </c>
      <c r="J24" t="str">
        <v>TP10f</v>
      </c>
      <c r="K24" t="str">
        <v>Canalisations, assainnissement et adduction d'eau avec fourniture de tuyaux avec fourniture de tuyaux multi-matériaux</v>
      </c>
      <c r="L24">
        <v>4.5918367346939881E-3</v>
      </c>
      <c r="M24">
        <v>4.4739869615237904E-3</v>
      </c>
    </row>
    <row r="25" spans="1:13">
      <c r="A25" s="37" t="s">
        <v>311</v>
      </c>
      <c r="B25" t="s">
        <v>270</v>
      </c>
      <c r="C25" t="s">
        <v>277</v>
      </c>
      <c r="D25" s="5">
        <v>4.5918367346939881E-3</v>
      </c>
      <c r="E25" s="5">
        <v>4.4739869615237904E-3</v>
      </c>
      <c r="J25" t="str">
        <v>TP10e</v>
      </c>
      <c r="K25" t="str">
        <v>Canalisations, assainnissement et adduction d'eau avec fourniture de tuyaux en fonte majoritaire</v>
      </c>
      <c r="L25">
        <v>3.3470648815656645E-3</v>
      </c>
      <c r="M25">
        <v>1.8024977468777958E-3</v>
      </c>
    </row>
    <row r="26" spans="1:13">
      <c r="A26" t="s">
        <v>217</v>
      </c>
      <c r="B26" t="s">
        <v>34</v>
      </c>
      <c r="C26" t="s">
        <v>13</v>
      </c>
      <c r="D26" s="5">
        <v>5.0903537795865539E-4</v>
      </c>
      <c r="E26" s="5">
        <v>-3.4233548877901088E-3</v>
      </c>
      <c r="J26" t="str">
        <v>TP06a</v>
      </c>
      <c r="K26" t="str">
        <v>Grands dragages maritimes </v>
      </c>
      <c r="L26">
        <v>3.1538088306648504E-3</v>
      </c>
      <c r="M26">
        <v>1.1763264305844956E-2</v>
      </c>
    </row>
    <row r="27" spans="1:13">
      <c r="A27" s="194" t="s">
        <v>218</v>
      </c>
      <c r="B27" t="s">
        <v>35</v>
      </c>
      <c r="C27" t="s">
        <v>14</v>
      </c>
      <c r="D27" s="5">
        <v>1.7950635751682986E-2</v>
      </c>
      <c r="E27" s="5">
        <v>1.5430937147158597E-2</v>
      </c>
      <c r="J27" t="str">
        <v>TP10d</v>
      </c>
      <c r="K27" t="str">
        <v>Réseaux de chauffage et de froid avec fourniture de tuyaux</v>
      </c>
      <c r="L27">
        <v>2.1152829190902445E-3</v>
      </c>
      <c r="M27">
        <v>5.9784774810680563E-3</v>
      </c>
    </row>
    <row r="28" spans="1:13">
      <c r="A28" s="190" t="s">
        <v>219</v>
      </c>
      <c r="B28" t="s">
        <v>36</v>
      </c>
      <c r="C28" t="s">
        <v>15</v>
      </c>
      <c r="D28" s="5">
        <v>7.796257796259809E-4</v>
      </c>
      <c r="E28" s="5">
        <v>2.4739583333333037E-3</v>
      </c>
      <c r="J28" t="str">
        <v>TP12b</v>
      </c>
      <c r="K28" t="str">
        <v>Éclairage public -Travaux d'installation</v>
      </c>
      <c r="L28">
        <v>7.796257796259809E-4</v>
      </c>
      <c r="M28">
        <v>2.4739583333333037E-3</v>
      </c>
    </row>
    <row r="29" spans="1:13">
      <c r="A29" s="190" t="s">
        <v>220</v>
      </c>
      <c r="B29" t="s">
        <v>37</v>
      </c>
      <c r="C29" t="s">
        <v>16</v>
      </c>
      <c r="D29" s="5">
        <v>5.6410256410255322E-3</v>
      </c>
      <c r="E29" s="5">
        <v>8.8997807300401632E-3</v>
      </c>
      <c r="J29" t="str">
        <v>TP11</v>
      </c>
      <c r="K29" t="str">
        <v>Canalisations grandes distances de transport / transfert  avec fourniture de tuyaux</v>
      </c>
      <c r="L29">
        <v>5.0903537795865539E-4</v>
      </c>
      <c r="M29">
        <v>-3.4233548877901088E-3</v>
      </c>
    </row>
    <row r="30" spans="1:13">
      <c r="A30" s="190" t="s">
        <v>221</v>
      </c>
      <c r="B30" t="s">
        <v>38</v>
      </c>
      <c r="C30" t="s">
        <v>17</v>
      </c>
      <c r="D30" s="5">
        <v>1.2211308733740545E-2</v>
      </c>
      <c r="E30" s="5">
        <v>1.5949604610641988E-2</v>
      </c>
      <c r="J30" t="str">
        <v>TP08</v>
      </c>
      <c r="K30" t="str">
        <v>Travaux d’aménagement et entretien de voirie en zones rurale et urbaine</v>
      </c>
      <c r="L30">
        <v>0</v>
      </c>
      <c r="M30">
        <v>-1.1056826947801413E-2</v>
      </c>
    </row>
    <row r="31" spans="1:13">
      <c r="A31" s="190" t="s">
        <v>312</v>
      </c>
      <c r="B31" t="s">
        <v>271</v>
      </c>
      <c r="C31" t="s">
        <v>278</v>
      </c>
      <c r="D31" s="5">
        <v>4.9538392253996033E-3</v>
      </c>
      <c r="E31" s="5">
        <v>-8.4632516703786465E-3</v>
      </c>
      <c r="J31" t="str">
        <v>TP10c</v>
      </c>
      <c r="K31" t="str">
        <v>Réhabilitation de canalisations non visitables</v>
      </c>
      <c r="L31">
        <v>-3.3453422542459865E-3</v>
      </c>
      <c r="M31">
        <v>-1.1718252451916822E-2</v>
      </c>
    </row>
    <row r="32" spans="1:13">
      <c r="A32" s="194" t="s">
        <v>313</v>
      </c>
      <c r="B32" t="s">
        <v>272</v>
      </c>
      <c r="C32" t="s">
        <v>315</v>
      </c>
      <c r="D32" s="5">
        <v>1.9775390625E-2</v>
      </c>
      <c r="E32" s="5">
        <v>1.5590473852197251E-2</v>
      </c>
      <c r="J32" t="str">
        <v>TP09</v>
      </c>
      <c r="K32" t="str">
        <v>Fabrication et mise en œuvre d’enrobés </v>
      </c>
      <c r="L32">
        <v>-1.4172799127827762E-2</v>
      </c>
      <c r="M32">
        <v>-3.9673125082377636E-2</v>
      </c>
    </row>
    <row r="33" spans="1:27">
      <c r="D33" s="180"/>
      <c r="E33" s="180"/>
    </row>
    <row r="34" spans="1:27">
      <c r="D34" s="180"/>
      <c r="E34" s="180"/>
    </row>
    <row r="35" spans="1:27">
      <c r="D35" s="4"/>
      <c r="E35" s="4"/>
    </row>
    <row r="36" spans="1:27">
      <c r="C36" t="s">
        <v>41</v>
      </c>
      <c r="D36" s="4">
        <f>('CUMULS INDEX'!B62/'CUMULS INDEX'!B63)-1</f>
        <v>4.8469387755103455E-3</v>
      </c>
      <c r="E36" s="4">
        <f>('CUMULS INDEX'!C62/'CUMULS INDEX'!C63)-1</f>
        <v>9.5776031434184894E-3</v>
      </c>
      <c r="F36" s="4">
        <f>('CUMULS INDEX'!D62/'CUMULS INDEX'!D63)-1</f>
        <v>8.7412587412585285E-3</v>
      </c>
      <c r="G36" s="4">
        <f>('CUMULS INDEX'!E62/'CUMULS INDEX'!E63)-1</f>
        <v>1.5043996593812059E-2</v>
      </c>
      <c r="H36" s="4">
        <f>('CUMULS INDEX'!F62/'CUMULS INDEX'!F63)-1</f>
        <v>1.1346444780635512E-2</v>
      </c>
      <c r="I36" s="4">
        <f>('CUMULS INDEX'!G62/'CUMULS INDEX'!G63)-1</f>
        <v>1.0638297872340496E-2</v>
      </c>
      <c r="J36" s="4">
        <f>('CUMULS INDEX'!H62/'CUMULS INDEX'!H63)-1</f>
        <v>1.3779527559055094E-2</v>
      </c>
      <c r="K36" s="4">
        <f>('CUMULS INDEX'!I62/'CUMULS INDEX'!I63)-1</f>
        <v>3.1538088306648504E-3</v>
      </c>
      <c r="L36" s="4">
        <f>('CUMULS INDEX'!J62/'CUMULS INDEX'!J63)-1</f>
        <v>7.5853350189634128E-3</v>
      </c>
      <c r="M36" s="4">
        <f>('CUMULS INDEX'!K62/'CUMULS INDEX'!K63)-1</f>
        <v>1.1625030917635337E-2</v>
      </c>
      <c r="N36" s="4">
        <f>('CUMULS INDEX'!L62/'CUMULS INDEX'!L63)-1</f>
        <v>0</v>
      </c>
      <c r="O36" s="4">
        <f>('CUMULS INDEX'!M62/'CUMULS INDEX'!M63)-1</f>
        <v>-1.4172799127827762E-2</v>
      </c>
      <c r="P36" s="4">
        <f>('CUMULS INDEX'!N62/'CUMULS INDEX'!N63)-1</f>
        <v>8.2644628099173278E-3</v>
      </c>
      <c r="Q36" s="4">
        <f>('CUMULS INDEX'!O62/'CUMULS INDEX'!O63)-1</f>
        <v>-3.3453422542459865E-3</v>
      </c>
      <c r="R36" s="4">
        <f>('CUMULS INDEX'!P62/'CUMULS INDEX'!P63)-1</f>
        <v>2.1152829190902445E-3</v>
      </c>
      <c r="S36" s="4">
        <f>('CUMULS INDEX'!Q62/'CUMULS INDEX'!Q63)-1</f>
        <v>3.3470648815656645E-3</v>
      </c>
      <c r="T36" s="4">
        <f>('CUMULS INDEX'!R62/'CUMULS INDEX'!R63)-1</f>
        <v>4.5918367346939881E-3</v>
      </c>
      <c r="U36" s="4">
        <f>('CUMULS INDEX'!S62/'CUMULS INDEX'!S63)-1</f>
        <v>5.0903537795865539E-4</v>
      </c>
      <c r="V36" s="4">
        <f>('CUMULS INDEX'!T62/'CUMULS INDEX'!T63)-1</f>
        <v>1.7950635751682986E-2</v>
      </c>
      <c r="W36" s="4">
        <f>('CUMULS INDEX'!U62/'CUMULS INDEX'!U63)-1</f>
        <v>7.796257796259809E-4</v>
      </c>
      <c r="X36" s="4">
        <f>('CUMULS INDEX'!V62/'CUMULS INDEX'!V63)-1</f>
        <v>5.6410256410255322E-3</v>
      </c>
      <c r="Y36" s="4">
        <f>('CUMULS INDEX'!W62/'CUMULS INDEX'!W63)-1</f>
        <v>1.2211308733740545E-2</v>
      </c>
      <c r="Z36" s="4">
        <f>('CUMULS INDEX'!X62/'CUMULS INDEX'!X63)-1</f>
        <v>4.9538392253996033E-3</v>
      </c>
      <c r="AA36" s="4">
        <f>('CUMULS INDEX'!Y62/'CUMULS INDEX'!Y63)-1</f>
        <v>1.9775390625E-2</v>
      </c>
    </row>
    <row r="37" spans="1:27">
      <c r="C37" t="s">
        <v>42</v>
      </c>
      <c r="D37" s="4">
        <f>('CUMULS INDEX'!B78/'CUMULS INDEX'!B79)-1</f>
        <v>-1.016906063302514E-3</v>
      </c>
      <c r="E37" s="4">
        <f>('CUMULS INDEX'!C78/'CUMULS INDEX'!C79)-1</f>
        <v>7.6345277675162748E-3</v>
      </c>
      <c r="F37" s="4">
        <f>('CUMULS INDEX'!D78/'CUMULS INDEX'!D79)-1</f>
        <v>8.0210552700838988E-3</v>
      </c>
      <c r="G37" s="4">
        <f>('CUMULS INDEX'!E78/'CUMULS INDEX'!E79)-1</f>
        <v>9.8702763677382954E-4</v>
      </c>
      <c r="H37" s="4">
        <f>('CUMULS INDEX'!F78/'CUMULS INDEX'!F79)-1</f>
        <v>5.0396875393723395E-3</v>
      </c>
      <c r="I37" s="4">
        <f>('CUMULS INDEX'!G78/'CUMULS INDEX'!G79)-1</f>
        <v>6.9384215091063961E-3</v>
      </c>
      <c r="J37" s="4">
        <f>('CUMULS INDEX'!H78/'CUMULS INDEX'!H79)-1</f>
        <v>8.2542811383516934E-3</v>
      </c>
      <c r="K37" s="4">
        <f>('CUMULS INDEX'!I78/'CUMULS INDEX'!I79)-1</f>
        <v>1.1763264305844956E-2</v>
      </c>
      <c r="L37" s="4">
        <f>('CUMULS INDEX'!J78/'CUMULS INDEX'!J79)-1</f>
        <v>1.0949834479246023E-2</v>
      </c>
      <c r="M37" s="4">
        <f>('CUMULS INDEX'!K78/'CUMULS INDEX'!K79)-1</f>
        <v>6.9332673022159952E-3</v>
      </c>
      <c r="N37" s="4">
        <f>('CUMULS INDEX'!L78/'CUMULS INDEX'!L79)-1</f>
        <v>-1.1056826947801413E-2</v>
      </c>
      <c r="O37" s="4">
        <f>('CUMULS INDEX'!M78/'CUMULS INDEX'!M79)-1</f>
        <v>-3.9673125082377636E-2</v>
      </c>
      <c r="P37" s="4">
        <f>('CUMULS INDEX'!N78/'CUMULS INDEX'!N79)-1</f>
        <v>8.5523833480065647E-3</v>
      </c>
      <c r="Q37" s="4">
        <f>('CUMULS INDEX'!O78/'CUMULS INDEX'!O79)-1</f>
        <v>-1.1718252451916822E-2</v>
      </c>
      <c r="R37" s="4">
        <f>('CUMULS INDEX'!P78/'CUMULS INDEX'!P79)-1</f>
        <v>5.9784774810680563E-3</v>
      </c>
      <c r="S37" s="4">
        <f>('CUMULS INDEX'!Q78/'CUMULS INDEX'!Q79)-1</f>
        <v>1.8024977468777958E-3</v>
      </c>
      <c r="T37" s="4">
        <f>('CUMULS INDEX'!R78/'CUMULS INDEX'!R79)-1</f>
        <v>4.4739869615237904E-3</v>
      </c>
      <c r="U37" s="4">
        <f>('CUMULS INDEX'!S78/'CUMULS INDEX'!S79)-1</f>
        <v>-3.4233548877901088E-3</v>
      </c>
      <c r="V37" s="4">
        <f>('CUMULS INDEX'!T78/'CUMULS INDEX'!T79)-1</f>
        <v>1.5430937147158597E-2</v>
      </c>
      <c r="W37" s="4">
        <f>('CUMULS INDEX'!U78/'CUMULS INDEX'!U79)-1</f>
        <v>2.4739583333333037E-3</v>
      </c>
      <c r="X37" s="4">
        <f>('CUMULS INDEX'!V78/'CUMULS INDEX'!V79)-1</f>
        <v>8.8997807300401632E-3</v>
      </c>
      <c r="Y37" s="4">
        <f>('CUMULS INDEX'!W78/'CUMULS INDEX'!W79)-1</f>
        <v>1.5949604610641988E-2</v>
      </c>
      <c r="Z37" s="4">
        <f>('CUMULS INDEX'!X78/'CUMULS INDEX'!X79)-1</f>
        <v>-8.4632516703786465E-3</v>
      </c>
      <c r="AA37" s="4">
        <f>('CUMULS INDEX'!Y78/'CUMULS INDEX'!Y79)-1</f>
        <v>1.5590473852197251E-2</v>
      </c>
    </row>
    <row r="38" spans="1:27">
      <c r="A38"/>
      <c r="D38" s="4"/>
      <c r="E38" s="4"/>
    </row>
    <row r="39" spans="1:27" ht="18.75">
      <c r="B39" s="230" t="s">
        <v>184</v>
      </c>
      <c r="C39" s="230"/>
      <c r="D39" s="230"/>
      <c r="E39" s="230"/>
      <c r="F39" s="230"/>
      <c r="G39" s="230"/>
      <c r="H39" s="230"/>
      <c r="I39" s="230"/>
      <c r="J39" s="230"/>
      <c r="K39" s="230"/>
      <c r="L39" s="230"/>
      <c r="M39" s="230"/>
    </row>
    <row r="40" spans="1:27">
      <c r="B40" s="100"/>
      <c r="C40" s="100"/>
      <c r="D40" s="100"/>
      <c r="E40" s="100"/>
      <c r="G40" s="100"/>
      <c r="H40" s="100"/>
      <c r="I40" s="100"/>
      <c r="J40" s="3" t="str" cm="1">
        <f t="array" ref="J40:J41">'A MODIFIER'!A7:A8</f>
        <v>*3 mois = Cumul déc 2025-févr 2026 / Cumul sept 2025-nov 2025</v>
      </c>
      <c r="K40" s="100"/>
      <c r="L40" s="100"/>
    </row>
    <row r="41" spans="1:27">
      <c r="B41" s="100"/>
      <c r="C41" s="100"/>
      <c r="D41" s="100"/>
      <c r="E41" s="100"/>
      <c r="G41" s="100"/>
      <c r="H41" s="100"/>
      <c r="I41" s="100"/>
      <c r="J41" s="3" t="str">
        <v>*6 mois = Cumul sept 2025-févr 2026 / Cumul mars 2025-août 2025</v>
      </c>
      <c r="K41" s="100"/>
      <c r="L41" s="100"/>
    </row>
    <row r="42" spans="1:27">
      <c r="A42"/>
      <c r="B42" s="100"/>
      <c r="C42" s="100"/>
      <c r="D42" s="100"/>
      <c r="E42" s="100"/>
      <c r="F42" s="100"/>
      <c r="G42" s="100"/>
      <c r="H42" s="100"/>
      <c r="I42" s="100"/>
      <c r="J42" s="100"/>
      <c r="K42" s="100"/>
      <c r="L42" s="100"/>
      <c r="M42" s="100"/>
    </row>
    <row r="43" spans="1:27">
      <c r="B43" s="236" t="s">
        <v>187</v>
      </c>
      <c r="C43" s="228"/>
      <c r="D43" s="228"/>
      <c r="E43" s="228"/>
      <c r="J43" s="236" t="s">
        <v>188</v>
      </c>
      <c r="K43" s="228"/>
      <c r="L43" s="228"/>
      <c r="M43" s="228"/>
    </row>
    <row r="44" spans="1:27">
      <c r="D44" s="21" t="s">
        <v>39</v>
      </c>
      <c r="E44" s="21" t="s">
        <v>40</v>
      </c>
      <c r="L44" s="21" t="s">
        <v>39</v>
      </c>
      <c r="M44" s="21" t="s">
        <v>40</v>
      </c>
    </row>
    <row r="45" spans="1:27">
      <c r="A45" s="34" t="s">
        <v>84</v>
      </c>
      <c r="B45" s="32" t="s">
        <v>47</v>
      </c>
      <c r="C45" t="s">
        <v>115</v>
      </c>
      <c r="D45" s="4" cm="1">
        <f t="array" ref="D45:D83">TRANSPOSE('3-6 MOIS GLISSANTS'!D88:AP88)</f>
        <v>-2.6336581511720025E-3</v>
      </c>
      <c r="E45" s="4" cm="1">
        <f t="array" ref="E45:E83">TRANSPOSE('3-6 MOIS GLISSANTS'!D89:AP89)</f>
        <v>1.8494055482165539E-3</v>
      </c>
      <c r="J45" t="str" cm="1">
        <f t="array" ref="J45:M83">_xlfn._xlws.SORT(B45:E83,3,-1,FALSE)</f>
        <v>010764291</v>
      </c>
      <c r="K45" t="str">
        <v>Électricité vendue aux entreprises consommatrices finales</v>
      </c>
      <c r="L45" s="4">
        <v>0.31659324522760635</v>
      </c>
      <c r="M45" s="4">
        <v>0.11775542015020557</v>
      </c>
    </row>
    <row r="46" spans="1:27">
      <c r="A46" s="212" t="s">
        <v>352</v>
      </c>
      <c r="B46" s="32">
        <v>8308500</v>
      </c>
      <c r="C46" t="s">
        <v>116</v>
      </c>
      <c r="D46" s="4">
        <v>9.9715099715098621E-3</v>
      </c>
      <c r="E46" s="4">
        <v>1.877256317689513E-2</v>
      </c>
      <c r="J46" t="str">
        <v>010764224</v>
      </c>
      <c r="K46" t="str">
        <v>Matériel de distribution et de commande électrique</v>
      </c>
      <c r="L46" s="4">
        <v>5.3840063341251021E-2</v>
      </c>
      <c r="M46" s="4">
        <v>6.9102898749828334E-2</v>
      </c>
    </row>
    <row r="47" spans="1:27">
      <c r="A47" s="34" t="s">
        <v>85</v>
      </c>
      <c r="B47" s="32" t="s">
        <v>49</v>
      </c>
      <c r="C47" t="s">
        <v>117</v>
      </c>
      <c r="D47" s="4">
        <v>5.8479532163744352E-3</v>
      </c>
      <c r="E47" s="4">
        <v>1.09296328134596E-2</v>
      </c>
      <c r="J47" t="str">
        <v>010765839</v>
      </c>
      <c r="K47" t="str">
        <v>Tôles quarto et autres produits plats en aciers non alliés de qualité</v>
      </c>
      <c r="L47" s="4">
        <v>4.1141897565071472E-2</v>
      </c>
      <c r="M47" s="4">
        <v>-9.9776013031971367E-3</v>
      </c>
    </row>
    <row r="48" spans="1:27">
      <c r="A48" s="34" t="s">
        <v>279</v>
      </c>
      <c r="B48" s="32" t="s">
        <v>317</v>
      </c>
      <c r="C48" t="s">
        <v>316</v>
      </c>
      <c r="D48" s="4">
        <v>2.3967130792056368E-2</v>
      </c>
      <c r="E48" s="4">
        <v>2.9609846725499267E-2</v>
      </c>
      <c r="J48" t="str">
        <v>010764223</v>
      </c>
      <c r="K48" t="str">
        <v>Moteurs, génératrices, transfo. électr., matér. distrib., cmde électr.</v>
      </c>
      <c r="L48" s="4">
        <v>3.6814835014998826E-2</v>
      </c>
      <c r="M48" s="4">
        <v>4.5639087218255714E-2</v>
      </c>
    </row>
    <row r="49" spans="1:13">
      <c r="A49" s="34" t="s">
        <v>86</v>
      </c>
      <c r="B49" s="32" t="s">
        <v>50</v>
      </c>
      <c r="C49" t="s">
        <v>118</v>
      </c>
      <c r="D49" s="4">
        <v>6.8515931617108006E-3</v>
      </c>
      <c r="E49" s="4">
        <v>1.9929342957115459E-2</v>
      </c>
      <c r="J49" t="str">
        <v>010764149</v>
      </c>
      <c r="K49" t="str">
        <v>Autres produits chimiques</v>
      </c>
      <c r="L49" s="4">
        <v>3.1799938252547122E-2</v>
      </c>
      <c r="M49" s="4">
        <v>-1.5557217651458677E-2</v>
      </c>
    </row>
    <row r="50" spans="1:13">
      <c r="A50" s="34" t="s">
        <v>87</v>
      </c>
      <c r="B50" s="32" t="s">
        <v>51</v>
      </c>
      <c r="C50" t="s">
        <v>119</v>
      </c>
      <c r="D50" s="4">
        <v>3.0916245081504812E-3</v>
      </c>
      <c r="E50" s="4">
        <v>-6.5514357401728063E-3</v>
      </c>
      <c r="F50" s="4"/>
      <c r="J50" t="str">
        <v>010764176</v>
      </c>
      <c r="K50" t="str">
        <v>Ciment, chaux et plâtre</v>
      </c>
      <c r="L50" s="4">
        <v>2.9247910863509974E-2</v>
      </c>
      <c r="M50" s="4">
        <v>7.4910683415925217E-3</v>
      </c>
    </row>
    <row r="51" spans="1:13">
      <c r="A51" s="34" t="s">
        <v>88</v>
      </c>
      <c r="B51" s="32" t="s">
        <v>52</v>
      </c>
      <c r="C51" t="s">
        <v>120</v>
      </c>
      <c r="D51" s="4">
        <v>1.8612071257644303E-3</v>
      </c>
      <c r="E51" s="4">
        <v>3.0642152944313494E-3</v>
      </c>
      <c r="J51" t="str">
        <v>010764301</v>
      </c>
      <c r="K51" t="str">
        <v>Collecte, traitement et élimination des déchets ; récupération de matériaux</v>
      </c>
      <c r="L51" s="4">
        <v>2.6463262764632844E-2</v>
      </c>
      <c r="M51" s="4">
        <v>-9.5861229458309438E-3</v>
      </c>
    </row>
    <row r="52" spans="1:13">
      <c r="A52" s="34" t="s">
        <v>280</v>
      </c>
      <c r="B52" s="187" t="s">
        <v>320</v>
      </c>
      <c r="C52" t="s">
        <v>121</v>
      </c>
      <c r="D52" s="4">
        <v>0.31659324522760635</v>
      </c>
      <c r="E52" s="4">
        <v>0.11775542015020557</v>
      </c>
      <c r="J52" t="str">
        <v>010777519</v>
      </c>
      <c r="K52" t="str">
        <v>GNR pour les Travaux Publics</v>
      </c>
      <c r="L52" s="4">
        <v>2.3967130792056368E-2</v>
      </c>
      <c r="M52" s="4">
        <v>2.9609846725499267E-2</v>
      </c>
    </row>
    <row r="53" spans="1:13">
      <c r="A53" s="159" t="s">
        <v>281</v>
      </c>
      <c r="B53" s="187" t="s">
        <v>321</v>
      </c>
      <c r="C53" t="s">
        <v>263</v>
      </c>
      <c r="D53" s="4">
        <v>-2.3275862068965369E-2</v>
      </c>
      <c r="E53" s="4">
        <v>-0.15884079236977267</v>
      </c>
      <c r="J53" t="str">
        <v>010763881</v>
      </c>
      <c r="K53" t="str">
        <v>Produits sidérurgiques en acier non allié</v>
      </c>
      <c r="L53" s="4">
        <v>1.8633540372670732E-2</v>
      </c>
      <c r="M53" s="4">
        <v>-2.1950787750044221E-2</v>
      </c>
    </row>
    <row r="54" spans="1:13" ht="30">
      <c r="A54" s="34" t="s">
        <v>90</v>
      </c>
      <c r="B54" s="32" t="s">
        <v>55</v>
      </c>
      <c r="C54" t="s">
        <v>55</v>
      </c>
      <c r="D54" s="4">
        <v>3.9284881664805038E-3</v>
      </c>
      <c r="E54" s="4">
        <v>3.7911447581447044E-2</v>
      </c>
      <c r="J54" t="str">
        <v>010764101</v>
      </c>
      <c r="K54" t="str">
        <v>Autres textiles</v>
      </c>
      <c r="L54" s="4">
        <v>1.1139674378748854E-2</v>
      </c>
      <c r="M54" s="4">
        <v>1.0331467929401761E-2</v>
      </c>
    </row>
    <row r="55" spans="1:13">
      <c r="A55" s="34" t="s">
        <v>282</v>
      </c>
      <c r="B55" s="32" t="s">
        <v>322</v>
      </c>
      <c r="C55" t="s">
        <v>122</v>
      </c>
      <c r="D55" s="4">
        <v>-8.2372322899505468E-3</v>
      </c>
      <c r="E55" s="4">
        <v>-9.1788231437469614E-3</v>
      </c>
      <c r="J55" t="str">
        <v>010765500</v>
      </c>
      <c r="K55" t="str">
        <v>Sables et granulats</v>
      </c>
      <c r="L55" s="4">
        <v>1.0353753235547769E-2</v>
      </c>
      <c r="M55" s="4">
        <v>3.445305770887197E-3</v>
      </c>
    </row>
    <row r="56" spans="1:13">
      <c r="A56" s="34" t="s">
        <v>284</v>
      </c>
      <c r="B56" s="187" t="s">
        <v>283</v>
      </c>
      <c r="C56" t="s">
        <v>123</v>
      </c>
      <c r="D56" s="4">
        <v>2.936857562408246E-3</v>
      </c>
      <c r="E56" s="4">
        <v>1.1269276393831573E-2</v>
      </c>
      <c r="J56">
        <v>8308500</v>
      </c>
      <c r="K56" t="str">
        <v>Travail</v>
      </c>
      <c r="L56" s="4">
        <v>9.9715099715098621E-3</v>
      </c>
      <c r="M56" s="4">
        <v>1.877256317689513E-2</v>
      </c>
    </row>
    <row r="57" spans="1:13">
      <c r="A57" s="34" t="s">
        <v>285</v>
      </c>
      <c r="B57" s="187" t="s">
        <v>323</v>
      </c>
      <c r="C57" t="s">
        <v>124</v>
      </c>
      <c r="D57" s="4">
        <v>8.8697415103902166E-3</v>
      </c>
      <c r="E57" s="4">
        <v>5.9644670050762461E-3</v>
      </c>
      <c r="J57" t="str">
        <v>010764180</v>
      </c>
      <c r="K57" t="str">
        <v>Béton prêt à l'emploi</v>
      </c>
      <c r="L57" s="4">
        <v>8.8697415103902166E-3</v>
      </c>
      <c r="M57" s="4">
        <v>5.9644670050762461E-3</v>
      </c>
    </row>
    <row r="58" spans="1:13">
      <c r="A58" s="34" t="s">
        <v>286</v>
      </c>
      <c r="B58" s="187" t="s">
        <v>324</v>
      </c>
      <c r="C58" t="s">
        <v>125</v>
      </c>
      <c r="D58" s="4">
        <v>-1.000769822940728E-2</v>
      </c>
      <c r="E58" s="4">
        <v>-2.9654654654654555E-2</v>
      </c>
      <c r="J58" t="str">
        <v>010764179</v>
      </c>
      <c r="K58" t="str">
        <v>Éléments en béton pour la construction</v>
      </c>
      <c r="L58" s="4">
        <v>8.7694483734088724E-3</v>
      </c>
      <c r="M58" s="4">
        <v>-6.7142257658413529E-3</v>
      </c>
    </row>
    <row r="59" spans="1:13">
      <c r="A59" s="34" t="s">
        <v>287</v>
      </c>
      <c r="B59" s="196" t="s">
        <v>319</v>
      </c>
      <c r="C59" t="s">
        <v>126</v>
      </c>
      <c r="D59" s="4">
        <v>1.0353753235547769E-2</v>
      </c>
      <c r="E59" s="4">
        <v>3.445305770887197E-3</v>
      </c>
      <c r="J59" t="str">
        <v>010763930</v>
      </c>
      <c r="K59" t="str">
        <v>Fils et câbles d'énergie</v>
      </c>
      <c r="L59" s="4">
        <v>8.0321285140563248E-3</v>
      </c>
      <c r="M59" s="4">
        <v>-1.6651370132424348E-2</v>
      </c>
    </row>
    <row r="60" spans="1:13">
      <c r="A60" s="34" t="s">
        <v>288</v>
      </c>
      <c r="B60" s="32" t="s">
        <v>325</v>
      </c>
      <c r="C60" t="s">
        <v>127</v>
      </c>
      <c r="D60" s="4">
        <v>-1.387574897508681E-2</v>
      </c>
      <c r="E60" s="4">
        <v>-2.2808378588052625E-2</v>
      </c>
      <c r="J60" t="str">
        <v>001764283</v>
      </c>
      <c r="K60" t="str">
        <v>Gazole</v>
      </c>
      <c r="L60" s="4">
        <v>6.8515931617108006E-3</v>
      </c>
      <c r="M60" s="4">
        <v>1.9929342957115459E-2</v>
      </c>
    </row>
    <row r="61" spans="1:13">
      <c r="A61" s="34" t="s">
        <v>289</v>
      </c>
      <c r="B61" s="32" t="s">
        <v>326</v>
      </c>
      <c r="C61" t="s">
        <v>128</v>
      </c>
      <c r="D61" s="4">
        <v>2.9247910863509974E-2</v>
      </c>
      <c r="E61" s="4">
        <v>7.4910683415925217E-3</v>
      </c>
      <c r="J61" t="str">
        <v>010766292</v>
      </c>
      <c r="K61" t="str">
        <v>Réseaux d’assainissement</v>
      </c>
      <c r="L61" s="4">
        <v>6.030414263240802E-3</v>
      </c>
      <c r="M61" s="4">
        <v>-1.556870818322198E-2</v>
      </c>
    </row>
    <row r="62" spans="1:13">
      <c r="A62" s="34" t="s">
        <v>290</v>
      </c>
      <c r="B62" s="32" t="s">
        <v>327</v>
      </c>
      <c r="C62" t="s">
        <v>258</v>
      </c>
      <c r="D62" s="4">
        <v>3.1799938252547122E-2</v>
      </c>
      <c r="E62" s="4">
        <v>-1.5557217651458677E-2</v>
      </c>
      <c r="J62" t="str">
        <v>001565195</v>
      </c>
      <c r="K62" t="str">
        <v>Travail activités spécialisées</v>
      </c>
      <c r="L62" s="4">
        <v>5.8479532163744352E-3</v>
      </c>
      <c r="M62" s="4">
        <v>1.09296328134596E-2</v>
      </c>
    </row>
    <row r="63" spans="1:13">
      <c r="A63" s="34" t="s">
        <v>291</v>
      </c>
      <c r="B63" s="32" t="s">
        <v>328</v>
      </c>
      <c r="C63" t="s">
        <v>129</v>
      </c>
      <c r="D63" s="4">
        <v>-7.7519379844964709E-3</v>
      </c>
      <c r="E63" s="4">
        <v>-2.8092922744462512E-2</v>
      </c>
      <c r="J63" t="str">
        <v>Gazole routier HTT</v>
      </c>
      <c r="K63" t="str">
        <v>Gazole routier HTT</v>
      </c>
      <c r="L63" s="4">
        <v>3.9284881664805038E-3</v>
      </c>
      <c r="M63" s="4">
        <v>3.7911447581447044E-2</v>
      </c>
    </row>
    <row r="64" spans="1:13">
      <c r="A64" s="34" t="s">
        <v>292</v>
      </c>
      <c r="B64" s="32" t="s">
        <v>329</v>
      </c>
      <c r="C64" t="s">
        <v>130</v>
      </c>
      <c r="D64" s="4">
        <v>-7.5425038639876263E-2</v>
      </c>
      <c r="E64" s="4">
        <v>-0.13323124042879009</v>
      </c>
      <c r="J64" t="str">
        <v>001711011</v>
      </c>
      <c r="K64" t="str">
        <v>Frais divers</v>
      </c>
      <c r="L64" s="4">
        <v>3.0916245081504812E-3</v>
      </c>
      <c r="M64" s="4">
        <v>-6.5514357401728063E-3</v>
      </c>
    </row>
    <row r="65" spans="1:13">
      <c r="A65" s="34" t="s">
        <v>293</v>
      </c>
      <c r="B65" s="32" t="s">
        <v>330</v>
      </c>
      <c r="C65" t="s">
        <v>131</v>
      </c>
      <c r="D65" s="4">
        <v>-2.1238485158648901E-2</v>
      </c>
      <c r="E65" s="4">
        <v>-1.7782293915915348E-2</v>
      </c>
      <c r="J65" t="str">
        <v> 010764116</v>
      </c>
      <c r="K65" t="str">
        <v>Ensemble des produits du sciage</v>
      </c>
      <c r="L65" s="4">
        <v>2.936857562408246E-3</v>
      </c>
      <c r="M65" s="4">
        <v>1.1269276393831573E-2</v>
      </c>
    </row>
    <row r="66" spans="1:13">
      <c r="A66" s="34" t="s">
        <v>294</v>
      </c>
      <c r="B66" s="32" t="s">
        <v>331</v>
      </c>
      <c r="C66" t="s">
        <v>132</v>
      </c>
      <c r="D66" s="4">
        <v>-4.9562682215744669E-3</v>
      </c>
      <c r="E66" s="4">
        <v>-2.3327015599939882E-3</v>
      </c>
      <c r="J66" t="str">
        <v>001711943</v>
      </c>
      <c r="K66" t="str">
        <v>Transports routiers</v>
      </c>
      <c r="L66" s="4">
        <v>1.8612071257644303E-3</v>
      </c>
      <c r="M66" s="4">
        <v>3.0642152944313494E-3</v>
      </c>
    </row>
    <row r="67" spans="1:13">
      <c r="A67" s="34" t="s">
        <v>295</v>
      </c>
      <c r="B67" s="32" t="s">
        <v>332</v>
      </c>
      <c r="C67" t="s">
        <v>133</v>
      </c>
      <c r="D67" s="4">
        <v>-2.6021337496751062E-4</v>
      </c>
      <c r="E67" s="4">
        <v>-1.2083815400437015E-2</v>
      </c>
      <c r="J67" t="str">
        <v>010764306</v>
      </c>
      <c r="K67" t="str">
        <v>Traitement et élimination des déchets non dangereux</v>
      </c>
      <c r="L67" s="4">
        <v>8.4674005080453973E-4</v>
      </c>
      <c r="M67" s="4">
        <v>-2.1114864864865135E-3</v>
      </c>
    </row>
    <row r="68" spans="1:13">
      <c r="A68" s="34" t="s">
        <v>296</v>
      </c>
      <c r="B68" s="32" t="s">
        <v>333</v>
      </c>
      <c r="C68" t="s">
        <v>134</v>
      </c>
      <c r="D68" s="4">
        <v>-1.0981141083790891E-2</v>
      </c>
      <c r="E68" s="4">
        <v>-5.2531041069724393E-3</v>
      </c>
      <c r="J68" t="str">
        <v>010764834</v>
      </c>
      <c r="K68" t="str">
        <v>Câbles de fibres optiques</v>
      </c>
      <c r="L68" s="4">
        <v>8.0677692617991958E-4</v>
      </c>
      <c r="M68" s="4">
        <v>-1.3916500994035741E-2</v>
      </c>
    </row>
    <row r="69" spans="1:13">
      <c r="A69" s="34" t="s">
        <v>297</v>
      </c>
      <c r="B69" s="32" t="s">
        <v>334</v>
      </c>
      <c r="C69" t="s">
        <v>266</v>
      </c>
      <c r="D69" s="4">
        <v>6.030414263240802E-3</v>
      </c>
      <c r="E69" s="4">
        <v>-1.556870818322198E-2</v>
      </c>
      <c r="J69" t="str">
        <v>010764195</v>
      </c>
      <c r="K69" t="str">
        <v>Travaux de fonderie de fonte</v>
      </c>
      <c r="L69" s="4">
        <v>-2.6021337496751062E-4</v>
      </c>
      <c r="M69" s="4">
        <v>-1.2083815400437015E-2</v>
      </c>
    </row>
    <row r="70" spans="1:13">
      <c r="A70" s="34" t="s">
        <v>298</v>
      </c>
      <c r="B70" s="32" t="s">
        <v>335</v>
      </c>
      <c r="C70" t="s">
        <v>261</v>
      </c>
      <c r="D70" s="4">
        <v>1.1139674378748854E-2</v>
      </c>
      <c r="E70" s="4">
        <v>1.0331467929401761E-2</v>
      </c>
      <c r="J70" t="str">
        <v>001711009</v>
      </c>
      <c r="K70" t="str">
        <v>Matériel</v>
      </c>
      <c r="L70" s="4">
        <v>-2.6336581511720025E-3</v>
      </c>
      <c r="M70" s="4">
        <v>1.8494055482165539E-3</v>
      </c>
    </row>
    <row r="71" spans="1:13">
      <c r="A71" s="34" t="s">
        <v>299</v>
      </c>
      <c r="B71" s="32" t="s">
        <v>336</v>
      </c>
      <c r="C71" t="s">
        <v>135</v>
      </c>
      <c r="D71" s="4">
        <v>-3.6204268292682862E-2</v>
      </c>
      <c r="E71" s="4">
        <v>-7.0023461469049031E-2</v>
      </c>
      <c r="J71" t="str">
        <v>010764181</v>
      </c>
      <c r="K71" t="str">
        <v>Mortiers et bétons secs</v>
      </c>
      <c r="L71" s="4">
        <v>-4.9562682215744669E-3</v>
      </c>
      <c r="M71" s="4">
        <v>-2.3327015599939882E-3</v>
      </c>
    </row>
    <row r="72" spans="1:13">
      <c r="A72" s="34" t="s">
        <v>300</v>
      </c>
      <c r="B72" s="32" t="s">
        <v>337</v>
      </c>
      <c r="C72" t="s">
        <v>136</v>
      </c>
      <c r="D72" s="4">
        <v>-1.4484831921289798E-2</v>
      </c>
      <c r="E72" s="4">
        <v>9.6445301736025613E-4</v>
      </c>
      <c r="J72" t="str">
        <v>010765837</v>
      </c>
      <c r="K72" t="str">
        <v>Acier pour la construction</v>
      </c>
      <c r="L72" s="4">
        <v>-7.7519379844964709E-3</v>
      </c>
      <c r="M72" s="4">
        <v>-2.8092922744462512E-2</v>
      </c>
    </row>
    <row r="73" spans="1:13">
      <c r="A73" s="34" t="s">
        <v>301</v>
      </c>
      <c r="B73" s="32" t="s">
        <v>338</v>
      </c>
      <c r="C73" t="s">
        <v>137</v>
      </c>
      <c r="D73" s="4">
        <v>8.7694483734088724E-3</v>
      </c>
      <c r="E73" s="4">
        <v>-6.7142257658413529E-3</v>
      </c>
      <c r="J73" t="str">
        <v>010763845</v>
      </c>
      <c r="K73" t="str">
        <v>Tubes, tuyaux en matière plastique</v>
      </c>
      <c r="L73" s="4">
        <v>-8.2372322899505468E-3</v>
      </c>
      <c r="M73" s="4">
        <v>-9.1788231437469614E-3</v>
      </c>
    </row>
    <row r="74" spans="1:13">
      <c r="A74" s="34" t="s">
        <v>302</v>
      </c>
      <c r="B74" s="32" t="s">
        <v>339</v>
      </c>
      <c r="C74" t="s">
        <v>138</v>
      </c>
      <c r="D74" s="4">
        <v>8.0321285140563248E-3</v>
      </c>
      <c r="E74" s="4">
        <v>-1.6651370132424348E-2</v>
      </c>
      <c r="J74" t="str">
        <v>010764228</v>
      </c>
      <c r="K74" t="str">
        <v>Appareils d'éclairage électrique</v>
      </c>
      <c r="L74" s="4">
        <v>-9.0568394753279824E-3</v>
      </c>
      <c r="M74" s="4">
        <v>-1.1627906976744318E-2</v>
      </c>
    </row>
    <row r="75" spans="1:13">
      <c r="A75" s="34" t="s">
        <v>303</v>
      </c>
      <c r="B75" s="32" t="s">
        <v>340</v>
      </c>
      <c r="C75" t="s">
        <v>139</v>
      </c>
      <c r="D75" s="4">
        <v>3.6814835014998826E-2</v>
      </c>
      <c r="E75" s="4">
        <v>4.5639087218255714E-2</v>
      </c>
      <c r="J75" t="str">
        <v>010766236</v>
      </c>
      <c r="K75" t="str">
        <v>Barres crénelées ou nervurées pour béton armé</v>
      </c>
      <c r="L75" s="4">
        <v>-1.000769822940728E-2</v>
      </c>
      <c r="M75" s="4">
        <v>-2.9654654654654555E-2</v>
      </c>
    </row>
    <row r="76" spans="1:13">
      <c r="A76" s="34" t="s">
        <v>304</v>
      </c>
      <c r="B76" s="32" t="s">
        <v>341</v>
      </c>
      <c r="C76" t="s">
        <v>140</v>
      </c>
      <c r="D76" s="4">
        <v>5.3840063341251021E-2</v>
      </c>
      <c r="E76" s="4">
        <v>6.9102898749828334E-2</v>
      </c>
      <c r="J76" t="str">
        <v>010764172</v>
      </c>
      <c r="K76" t="str">
        <v>Tuiles, briques et produits de construction en terre cuite</v>
      </c>
      <c r="L76" s="4">
        <v>-1.0981141083790891E-2</v>
      </c>
      <c r="M76" s="4">
        <v>-5.2531041069724393E-3</v>
      </c>
    </row>
    <row r="77" spans="1:13">
      <c r="A77" s="34" t="s">
        <v>318</v>
      </c>
      <c r="B77" s="32" t="s">
        <v>342</v>
      </c>
      <c r="C77" t="s">
        <v>141</v>
      </c>
      <c r="D77" s="4">
        <v>-9.0568394753279824E-3</v>
      </c>
      <c r="E77" s="4">
        <v>-1.1627906976744318E-2</v>
      </c>
      <c r="J77" t="str">
        <v>010763825</v>
      </c>
      <c r="K77" t="str">
        <v>Peintures Industries</v>
      </c>
      <c r="L77" s="4">
        <v>-1.3013013013012942E-2</v>
      </c>
      <c r="M77" s="4">
        <v>-3.0643389085581729E-2</v>
      </c>
    </row>
    <row r="78" spans="1:13">
      <c r="A78" s="34" t="s">
        <v>305</v>
      </c>
      <c r="B78" s="32" t="s">
        <v>343</v>
      </c>
      <c r="C78" t="s">
        <v>142</v>
      </c>
      <c r="D78" s="4">
        <v>8.0677692617991958E-4</v>
      </c>
      <c r="E78" s="4">
        <v>-1.3916500994035741E-2</v>
      </c>
      <c r="J78" t="str">
        <v>010764160</v>
      </c>
      <c r="K78" t="str">
        <v>Plaques, feuilles, tubes et profilés en matières plastiques</v>
      </c>
      <c r="L78" s="4">
        <v>-1.387574897508681E-2</v>
      </c>
      <c r="M78" s="4">
        <v>-2.2808378588052625E-2</v>
      </c>
    </row>
    <row r="79" spans="1:13">
      <c r="A79" s="34" t="s">
        <v>306</v>
      </c>
      <c r="B79" s="32" t="s">
        <v>344</v>
      </c>
      <c r="C79" t="s">
        <v>143</v>
      </c>
      <c r="D79" s="4">
        <v>-1.3013013013012942E-2</v>
      </c>
      <c r="E79" s="4">
        <v>-3.0643389085581729E-2</v>
      </c>
      <c r="J79" t="str">
        <v>010764187</v>
      </c>
      <c r="K79" t="str">
        <v>Tubes, tuyaux, profilés creux et accessoires correspondants en acier</v>
      </c>
      <c r="L79" s="4">
        <v>-1.4484831921289798E-2</v>
      </c>
      <c r="M79" s="4">
        <v>9.6445301736025613E-4</v>
      </c>
    </row>
    <row r="80" spans="1:13">
      <c r="A80" s="34" t="s">
        <v>307</v>
      </c>
      <c r="B80" s="32" t="s">
        <v>345</v>
      </c>
      <c r="C80" t="s">
        <v>144</v>
      </c>
      <c r="D80" s="4">
        <v>1.8633540372670732E-2</v>
      </c>
      <c r="E80" s="4">
        <v>-2.1950787750044221E-2</v>
      </c>
      <c r="J80" t="str">
        <v>010763871</v>
      </c>
      <c r="K80" t="str">
        <v>Produits de voierie en béton</v>
      </c>
      <c r="L80" s="4">
        <v>-2.1238485158648901E-2</v>
      </c>
      <c r="M80" s="4">
        <v>-1.7782293915915348E-2</v>
      </c>
    </row>
    <row r="81" spans="1:42">
      <c r="A81" s="34" t="s">
        <v>308</v>
      </c>
      <c r="B81" s="32" t="s">
        <v>346</v>
      </c>
      <c r="C81" t="s">
        <v>145</v>
      </c>
      <c r="D81" s="4">
        <v>4.1141897565071472E-2</v>
      </c>
      <c r="E81" s="4">
        <v>-9.9776013031971367E-3</v>
      </c>
      <c r="J81" t="str">
        <v>010764297</v>
      </c>
      <c r="K81" t="str">
        <v>Gaz naturel</v>
      </c>
      <c r="L81" s="4">
        <v>-2.3275862068965369E-2</v>
      </c>
      <c r="M81" s="4">
        <v>-0.15884079236977267</v>
      </c>
    </row>
    <row r="82" spans="1:42">
      <c r="A82" s="34" t="s">
        <v>309</v>
      </c>
      <c r="B82" s="32" t="s">
        <v>347</v>
      </c>
      <c r="C82" t="s">
        <v>148</v>
      </c>
      <c r="D82" s="4">
        <v>8.4674005080453973E-4</v>
      </c>
      <c r="E82" s="4">
        <v>-2.1114864864865135E-3</v>
      </c>
      <c r="J82" t="str">
        <v>010764143</v>
      </c>
      <c r="K82" t="str">
        <v>Matières plastiques sous formes primaires</v>
      </c>
      <c r="L82" s="4">
        <v>-3.6204268292682862E-2</v>
      </c>
      <c r="M82" s="4">
        <v>-7.0023461469049031E-2</v>
      </c>
    </row>
    <row r="83" spans="1:42">
      <c r="A83" s="34" t="s">
        <v>310</v>
      </c>
      <c r="B83" s="32" t="s">
        <v>348</v>
      </c>
      <c r="C83" t="s">
        <v>149</v>
      </c>
      <c r="D83" s="4">
        <v>2.6463262764632844E-2</v>
      </c>
      <c r="E83" s="4">
        <v>-9.5861229458309438E-3</v>
      </c>
      <c r="J83" t="str">
        <v>010764136</v>
      </c>
      <c r="K83" t="str">
        <v>Bitume</v>
      </c>
      <c r="L83" s="4">
        <v>-7.5425038639876263E-2</v>
      </c>
      <c r="M83" s="4">
        <v>-0.13323124042879009</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-2.6336581511720025E-3</v>
      </c>
      <c r="E88" s="4">
        <f>('CUMULS INDICES'!C157/'CUMULS INDICES'!C158)-1</f>
        <v>9.9715099715098621E-3</v>
      </c>
      <c r="F88" s="4">
        <f>('CUMULS INDICES'!D157/'CUMULS INDICES'!D158)-1</f>
        <v>5.8479532163744352E-3</v>
      </c>
      <c r="G88" s="4">
        <f>('CUMULS INDICES'!E157/'CUMULS INDICES'!E158)-1</f>
        <v>2.3967130792056368E-2</v>
      </c>
      <c r="H88" s="4">
        <f>('CUMULS INDICES'!F157/'CUMULS INDICES'!F158)-1</f>
        <v>6.8515931617108006E-3</v>
      </c>
      <c r="I88" s="4">
        <f>('CUMULS INDICES'!G157/'CUMULS INDICES'!G158)-1</f>
        <v>3.0916245081504812E-3</v>
      </c>
      <c r="J88" s="4">
        <f>('CUMULS INDICES'!H157/'CUMULS INDICES'!H158)-1</f>
        <v>1.8612071257644303E-3</v>
      </c>
      <c r="K88" s="4">
        <f>('CUMULS INDICES'!I157/'CUMULS INDICES'!I158)-1</f>
        <v>0.31659324522760635</v>
      </c>
      <c r="L88" s="4">
        <f>('CUMULS INDICES'!J157/'CUMULS INDICES'!J158)-1</f>
        <v>-2.3275862068965369E-2</v>
      </c>
      <c r="M88" s="4">
        <f>('CUMULS INDICES'!K157/'CUMULS INDICES'!K158)-1</f>
        <v>3.9284881664805038E-3</v>
      </c>
      <c r="N88" s="4">
        <f>('CUMULS INDICES'!L157/'CUMULS INDICES'!L158)-1</f>
        <v>-8.2372322899505468E-3</v>
      </c>
      <c r="O88" s="4">
        <f>('CUMULS INDICES'!M157/'CUMULS INDICES'!M158)-1</f>
        <v>2.936857562408246E-3</v>
      </c>
      <c r="P88" s="4">
        <f>('CUMULS INDICES'!N157/'CUMULS INDICES'!N158)-1</f>
        <v>8.8697415103902166E-3</v>
      </c>
      <c r="Q88" s="4">
        <f>('CUMULS INDICES'!O157/'CUMULS INDICES'!O158)-1</f>
        <v>-1.000769822940728E-2</v>
      </c>
      <c r="R88" s="4">
        <f>('CUMULS INDICES'!P157/'CUMULS INDICES'!P158)-1</f>
        <v>1.0353753235547769E-2</v>
      </c>
      <c r="S88" s="4">
        <f>('CUMULS INDICES'!Q157/'CUMULS INDICES'!Q158)-1</f>
        <v>-1.387574897508681E-2</v>
      </c>
      <c r="T88" s="4">
        <f>('CUMULS INDICES'!R157/'CUMULS INDICES'!R158)-1</f>
        <v>2.9247910863509974E-2</v>
      </c>
      <c r="U88" s="4">
        <f>('CUMULS INDICES'!S157/'CUMULS INDICES'!S158)-1</f>
        <v>3.1799938252547122E-2</v>
      </c>
      <c r="V88" s="4">
        <f>('CUMULS INDICES'!T157/'CUMULS INDICES'!T158)-1</f>
        <v>-7.7519379844964709E-3</v>
      </c>
      <c r="W88" s="4">
        <f>('CUMULS INDICES'!U157/'CUMULS INDICES'!U158)-1</f>
        <v>-7.5425038639876263E-2</v>
      </c>
      <c r="X88" s="4">
        <f>('CUMULS INDICES'!V157/'CUMULS INDICES'!V158)-1</f>
        <v>-2.1238485158648901E-2</v>
      </c>
      <c r="Y88" s="4">
        <f>('CUMULS INDICES'!W157/'CUMULS INDICES'!W158)-1</f>
        <v>-4.9562682215744669E-3</v>
      </c>
      <c r="Z88" s="4">
        <f>('CUMULS INDICES'!X157/'CUMULS INDICES'!X158)-1</f>
        <v>-2.6021337496751062E-4</v>
      </c>
      <c r="AA88" s="4">
        <f>('CUMULS INDICES'!Y157/'CUMULS INDICES'!Y158)-1</f>
        <v>-1.0981141083790891E-2</v>
      </c>
      <c r="AB88" s="4">
        <f>('CUMULS INDICES'!Z157/'CUMULS INDICES'!Z158)-1</f>
        <v>6.030414263240802E-3</v>
      </c>
      <c r="AC88" s="4">
        <f>('CUMULS INDICES'!AA157/'CUMULS INDICES'!AA158)-1</f>
        <v>1.1139674378748854E-2</v>
      </c>
      <c r="AD88" s="4">
        <f>('CUMULS INDICES'!AB157/'CUMULS INDICES'!AB158)-1</f>
        <v>-3.6204268292682862E-2</v>
      </c>
      <c r="AE88" s="4">
        <f>('CUMULS INDICES'!AC157/'CUMULS INDICES'!AC158)-1</f>
        <v>-1.4484831921289798E-2</v>
      </c>
      <c r="AF88" s="4">
        <f>('CUMULS INDICES'!AD157/'CUMULS INDICES'!AD158)-1</f>
        <v>8.7694483734088724E-3</v>
      </c>
      <c r="AG88" s="4">
        <f>('CUMULS INDICES'!AE157/'CUMULS INDICES'!AE158)-1</f>
        <v>8.0321285140563248E-3</v>
      </c>
      <c r="AH88" s="4">
        <f>('CUMULS INDICES'!AF157/'CUMULS INDICES'!AF158)-1</f>
        <v>3.6814835014998826E-2</v>
      </c>
      <c r="AI88" s="4">
        <f>('CUMULS INDICES'!AG157/'CUMULS INDICES'!AG158)-1</f>
        <v>5.3840063341251021E-2</v>
      </c>
      <c r="AJ88" s="4">
        <f>('CUMULS INDICES'!AH157/'CUMULS INDICES'!AH158)-1</f>
        <v>-9.0568394753279824E-3</v>
      </c>
      <c r="AK88" s="4">
        <f>('CUMULS INDICES'!AI157/'CUMULS INDICES'!AI158)-1</f>
        <v>8.0677692617991958E-4</v>
      </c>
      <c r="AL88" s="4">
        <f>('CUMULS INDICES'!AJ157/'CUMULS INDICES'!AJ158)-1</f>
        <v>-1.3013013013012942E-2</v>
      </c>
      <c r="AM88" s="4">
        <f>('CUMULS INDICES'!AK157/'CUMULS INDICES'!AK158)-1</f>
        <v>1.8633540372670732E-2</v>
      </c>
      <c r="AN88" s="4">
        <f>('CUMULS INDICES'!AL157/'CUMULS INDICES'!AL158)-1</f>
        <v>4.1141897565071472E-2</v>
      </c>
      <c r="AO88" s="4">
        <f>('CUMULS INDICES'!AM157/'CUMULS INDICES'!AM158)-1</f>
        <v>8.4674005080453973E-4</v>
      </c>
      <c r="AP88" s="4">
        <f>('CUMULS INDICES'!AN157/'CUMULS INDICES'!AN158)-1</f>
        <v>2.6463262764632844E-2</v>
      </c>
    </row>
    <row r="89" spans="1:42">
      <c r="C89" t="s">
        <v>42</v>
      </c>
      <c r="D89" s="4">
        <f>('CUMULS INDICES'!B173/'CUMULS INDICES'!B174)-1</f>
        <v>1.8494055482165539E-3</v>
      </c>
      <c r="E89" s="4">
        <f>('CUMULS INDICES'!C173/'CUMULS INDICES'!C174)-1</f>
        <v>1.877256317689513E-2</v>
      </c>
      <c r="F89" s="4">
        <f>('CUMULS INDICES'!D173/'CUMULS INDICES'!D174)-1</f>
        <v>1.09296328134596E-2</v>
      </c>
      <c r="G89" s="4">
        <f>('CUMULS INDICES'!E173/'CUMULS INDICES'!E174)-1</f>
        <v>2.9609846725499267E-2</v>
      </c>
      <c r="H89" s="4">
        <f>('CUMULS INDICES'!F173/'CUMULS INDICES'!F174)-1</f>
        <v>1.9929342957115459E-2</v>
      </c>
      <c r="I89" s="4">
        <f>('CUMULS INDICES'!G173/'CUMULS INDICES'!G174)-1</f>
        <v>-6.5514357401728063E-3</v>
      </c>
      <c r="J89" s="4">
        <f>('CUMULS INDICES'!H173/'CUMULS INDICES'!H174)-1</f>
        <v>3.0642152944313494E-3</v>
      </c>
      <c r="K89" s="4">
        <f>('CUMULS INDICES'!I173/'CUMULS INDICES'!I174)-1</f>
        <v>0.11775542015020557</v>
      </c>
      <c r="L89" s="4">
        <f>('CUMULS INDICES'!J173/'CUMULS INDICES'!J174)-1</f>
        <v>-0.15884079236977267</v>
      </c>
      <c r="M89" s="4">
        <f>('CUMULS INDICES'!K173/'CUMULS INDICES'!K174)-1</f>
        <v>3.7911447581447044E-2</v>
      </c>
      <c r="N89" s="4">
        <f>('CUMULS INDICES'!L173/'CUMULS INDICES'!L174)-1</f>
        <v>-9.1788231437469614E-3</v>
      </c>
      <c r="O89" s="4">
        <f>('CUMULS INDICES'!M173/'CUMULS INDICES'!M174)-1</f>
        <v>1.1269276393831573E-2</v>
      </c>
      <c r="P89" s="4">
        <f>('CUMULS INDICES'!N173/'CUMULS INDICES'!N174)-1</f>
        <v>5.9644670050762461E-3</v>
      </c>
      <c r="Q89" s="4">
        <f>('CUMULS INDICES'!O173/'CUMULS INDICES'!O174)-1</f>
        <v>-2.9654654654654555E-2</v>
      </c>
      <c r="R89" s="4">
        <f>('CUMULS INDICES'!P173/'CUMULS INDICES'!P174)-1</f>
        <v>3.445305770887197E-3</v>
      </c>
      <c r="S89" s="4">
        <f>('CUMULS INDICES'!Q173/'CUMULS INDICES'!Q174)-1</f>
        <v>-2.2808378588052625E-2</v>
      </c>
      <c r="T89" s="4">
        <f>('CUMULS INDICES'!R173/'CUMULS INDICES'!R174)-1</f>
        <v>7.4910683415925217E-3</v>
      </c>
      <c r="U89" s="4">
        <f>('CUMULS INDICES'!S173/'CUMULS INDICES'!S174)-1</f>
        <v>-1.5557217651458677E-2</v>
      </c>
      <c r="V89" s="4">
        <f>('CUMULS INDICES'!T173/'CUMULS INDICES'!T174)-1</f>
        <v>-2.8092922744462512E-2</v>
      </c>
      <c r="W89" s="4">
        <f>('CUMULS INDICES'!U173/'CUMULS INDICES'!U174)-1</f>
        <v>-0.13323124042879009</v>
      </c>
      <c r="X89" s="4">
        <f>('CUMULS INDICES'!V173/'CUMULS INDICES'!V174)-1</f>
        <v>-1.7782293915915348E-2</v>
      </c>
      <c r="Y89" s="4">
        <f>('CUMULS INDICES'!W173/'CUMULS INDICES'!W174)-1</f>
        <v>-2.3327015599939882E-3</v>
      </c>
      <c r="Z89" s="4">
        <f>('CUMULS INDICES'!X173/'CUMULS INDICES'!X174)-1</f>
        <v>-1.2083815400437015E-2</v>
      </c>
      <c r="AA89" s="4">
        <f>('CUMULS INDICES'!Y173/'CUMULS INDICES'!Y174)-1</f>
        <v>-5.2531041069724393E-3</v>
      </c>
      <c r="AB89" s="4">
        <f>('CUMULS INDICES'!Z173/'CUMULS INDICES'!Z174)-1</f>
        <v>-1.556870818322198E-2</v>
      </c>
      <c r="AC89" s="4">
        <f>('CUMULS INDICES'!AA173/'CUMULS INDICES'!AA174)-1</f>
        <v>1.0331467929401761E-2</v>
      </c>
      <c r="AD89" s="4">
        <f>('CUMULS INDICES'!AB173/'CUMULS INDICES'!AB174)-1</f>
        <v>-7.0023461469049031E-2</v>
      </c>
      <c r="AE89" s="4">
        <f>('CUMULS INDICES'!AC173/'CUMULS INDICES'!AC174)-1</f>
        <v>9.6445301736025613E-4</v>
      </c>
      <c r="AF89" s="4">
        <f>('CUMULS INDICES'!AD173/'CUMULS INDICES'!AD174)-1</f>
        <v>-6.7142257658413529E-3</v>
      </c>
      <c r="AG89" s="4">
        <f>('CUMULS INDICES'!AE173/'CUMULS INDICES'!AE174)-1</f>
        <v>-1.6651370132424348E-2</v>
      </c>
      <c r="AH89" s="4">
        <f>('CUMULS INDICES'!AF173/'CUMULS INDICES'!AF174)-1</f>
        <v>4.5639087218255714E-2</v>
      </c>
      <c r="AI89" s="4">
        <f>('CUMULS INDICES'!AG173/'CUMULS INDICES'!AG174)-1</f>
        <v>6.9102898749828334E-2</v>
      </c>
      <c r="AJ89" s="4">
        <f>('CUMULS INDICES'!AH173/'CUMULS INDICES'!AH174)-1</f>
        <v>-1.1627906976744318E-2</v>
      </c>
      <c r="AK89" s="4">
        <f>('CUMULS INDICES'!AI173/'CUMULS INDICES'!AI174)-1</f>
        <v>-1.3916500994035741E-2</v>
      </c>
      <c r="AL89" s="4">
        <f>('CUMULS INDICES'!AJ173/'CUMULS INDICES'!AJ174)-1</f>
        <v>-3.0643389085581729E-2</v>
      </c>
      <c r="AM89" s="4">
        <f>('CUMULS INDICES'!AK173/'CUMULS INDICES'!AK174)-1</f>
        <v>-2.1950787750044221E-2</v>
      </c>
      <c r="AN89" s="4">
        <f>('CUMULS INDICES'!AL173/'CUMULS INDICES'!AL174)-1</f>
        <v>-9.9776013031971367E-3</v>
      </c>
      <c r="AO89" s="4">
        <f>('CUMULS INDICES'!AM173/'CUMULS INDICES'!AM174)-1</f>
        <v>-2.1114864864865135E-3</v>
      </c>
      <c r="AP89" s="4">
        <f>('CUMULS INDICES'!AN173/'CUMULS INDICES'!AN174)-1</f>
        <v>-9.5861229458309438E-3</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30" t="s">
        <v>183</v>
      </c>
      <c r="B1" s="230"/>
      <c r="C1" s="230"/>
      <c r="D1" s="230"/>
      <c r="E1" s="230"/>
      <c r="F1" s="230"/>
      <c r="G1" s="230"/>
      <c r="H1" s="230"/>
      <c r="I1" s="230"/>
      <c r="J1" s="230"/>
      <c r="K1" s="230"/>
      <c r="L1" s="230"/>
    </row>
    <row r="6" spans="1:12">
      <c r="A6" s="237" t="str">
        <f>UPPER('RESULTATS DATE A DATE'!B20)</f>
        <v>EVOLUTION ENTRE JANV. 2018 ET FÉVR. 2026</v>
      </c>
      <c r="B6" s="237"/>
      <c r="C6" s="237"/>
      <c r="J6" s="237" t="s">
        <v>191</v>
      </c>
      <c r="K6" s="237"/>
      <c r="L6" s="237"/>
    </row>
    <row r="7" spans="1:12">
      <c r="A7" t="s">
        <v>19</v>
      </c>
      <c r="B7" t="s">
        <v>0</v>
      </c>
      <c r="C7" s="20" cm="1">
        <f t="array" ref="C7:C30">TRANSPOSE(C34:Z34)</f>
        <v>0.2320596458527493</v>
      </c>
      <c r="J7" t="str" cm="1">
        <f t="array" ref="J7:L30">_xlfn._xlws.SORT(A7:C30,3,-1)</f>
        <v>TP10d</v>
      </c>
      <c r="K7" t="str">
        <v>Réseaux de chauffage et de froid avec fourniture de tuyaux</v>
      </c>
      <c r="L7" s="4" t="e">
        <v>#N/A</v>
      </c>
    </row>
    <row r="8" spans="1:12">
      <c r="A8" t="s">
        <v>20</v>
      </c>
      <c r="B8" t="s">
        <v>1</v>
      </c>
      <c r="C8" s="20">
        <v>0.23651079136690645</v>
      </c>
      <c r="J8" t="str">
        <v>TP10e</v>
      </c>
      <c r="K8" t="str">
        <v>Canalisations, assainnissement et adduction d'eau avec fourniture de tuyaux en fonte majoritaire</v>
      </c>
      <c r="L8" s="4" t="e">
        <v>#N/A</v>
      </c>
    </row>
    <row r="9" spans="1:12">
      <c r="A9" t="s">
        <v>21</v>
      </c>
      <c r="B9" t="s">
        <v>2</v>
      </c>
      <c r="C9" s="20">
        <v>0.25998142989786421</v>
      </c>
      <c r="J9" t="str">
        <v>TP13b</v>
      </c>
      <c r="K9" t="str">
        <v>Charpentes et ouvrages d'art métalliques sans fourniture des aciers</v>
      </c>
      <c r="L9" s="4" t="e">
        <v>#N/A</v>
      </c>
    </row>
    <row r="10" spans="1:12">
      <c r="A10" t="s">
        <v>22</v>
      </c>
      <c r="B10" t="s">
        <v>3</v>
      </c>
      <c r="C10" s="20">
        <v>0.12033582089552231</v>
      </c>
      <c r="J10" t="str">
        <v>TP13a</v>
      </c>
      <c r="K10" t="str">
        <v>Charpentes et ouvrages d'art métalliques</v>
      </c>
      <c r="L10" s="4">
        <v>0.37361623616236161</v>
      </c>
    </row>
    <row r="11" spans="1:12">
      <c r="A11" t="s">
        <v>23</v>
      </c>
      <c r="B11" t="s">
        <v>4</v>
      </c>
      <c r="C11" s="20">
        <v>0.22648401826484021</v>
      </c>
      <c r="J11" t="str">
        <v>TP07b</v>
      </c>
      <c r="K11" t="str">
        <v>Travaux de génie civil, béton et acier pour ouvrages maritimes et fluviaux</v>
      </c>
      <c r="L11" s="4">
        <v>0.3057929724596391</v>
      </c>
    </row>
    <row r="12" spans="1:12">
      <c r="A12" t="s">
        <v>24</v>
      </c>
      <c r="B12" t="s">
        <v>5</v>
      </c>
      <c r="C12" s="20">
        <v>0.25551470588235303</v>
      </c>
      <c r="J12" t="str">
        <v>TP11</v>
      </c>
      <c r="K12" t="str">
        <v>Canalisations grandes distances de transport / transfert  avec fourniture de tuyaux</v>
      </c>
      <c r="L12" s="4">
        <v>0.2858536585365854</v>
      </c>
    </row>
    <row r="13" spans="1:12">
      <c r="A13" t="s">
        <v>25</v>
      </c>
      <c r="B13" t="s">
        <v>6</v>
      </c>
      <c r="C13" s="20">
        <v>0.26703499079189696</v>
      </c>
      <c r="J13" t="str">
        <v>TP06a</v>
      </c>
      <c r="K13" t="str">
        <v>Grands dragages maritimes </v>
      </c>
      <c r="L13" s="4">
        <v>0.26982680036463091</v>
      </c>
    </row>
    <row r="14" spans="1:12">
      <c r="A14" t="s">
        <v>26</v>
      </c>
      <c r="B14" t="s">
        <v>7</v>
      </c>
      <c r="C14" s="20">
        <v>0.26982680036463091</v>
      </c>
      <c r="J14" t="str">
        <v>TP05b</v>
      </c>
      <c r="K14" t="str">
        <v xml:space="preserve">Travaux en souterrains avec tunnelier </v>
      </c>
      <c r="L14" s="4">
        <v>0.26703499079189696</v>
      </c>
    </row>
    <row r="15" spans="1:12">
      <c r="A15" t="s">
        <v>27</v>
      </c>
      <c r="B15" t="s">
        <v>8</v>
      </c>
      <c r="C15" s="20">
        <v>0.25585754451733833</v>
      </c>
      <c r="J15" t="str">
        <v>TP12a</v>
      </c>
      <c r="K15" t="str">
        <v>Réseaux d'énergie et de communication</v>
      </c>
      <c r="L15" s="4">
        <v>0.26238532110091728</v>
      </c>
    </row>
    <row r="16" spans="1:12">
      <c r="A16" t="s">
        <v>28</v>
      </c>
      <c r="B16" t="s">
        <v>275</v>
      </c>
      <c r="C16" s="20">
        <v>0.3057929724596391</v>
      </c>
      <c r="J16" t="str">
        <v>TP03a</v>
      </c>
      <c r="K16" t="str">
        <v>Grands terrassements</v>
      </c>
      <c r="L16" s="4">
        <v>0.25998142989786421</v>
      </c>
    </row>
    <row r="17" spans="1:12">
      <c r="A17" t="s">
        <v>29</v>
      </c>
      <c r="B17" t="s">
        <v>351</v>
      </c>
      <c r="C17" s="20">
        <v>0.22930542340627968</v>
      </c>
      <c r="J17" t="str">
        <v>TP06b</v>
      </c>
      <c r="K17" t="str">
        <v>Dragages fluviaux et petits dragages maritimes</v>
      </c>
      <c r="L17" s="4">
        <v>0.25585754451733833</v>
      </c>
    </row>
    <row r="18" spans="1:12">
      <c r="A18" t="s">
        <v>30</v>
      </c>
      <c r="B18" t="s">
        <v>9</v>
      </c>
      <c r="C18" s="20">
        <v>0.20854021847070503</v>
      </c>
      <c r="J18" t="str">
        <v>TP05a</v>
      </c>
      <c r="K18" t="str">
        <v xml:space="preserve">Travaux en souterrains traditionnels </v>
      </c>
      <c r="L18" s="4">
        <v>0.25551470588235303</v>
      </c>
    </row>
    <row r="19" spans="1:12">
      <c r="A19" t="s">
        <v>31</v>
      </c>
      <c r="B19" t="s">
        <v>10</v>
      </c>
      <c r="C19" s="20">
        <v>0.22524977293369686</v>
      </c>
      <c r="J19" t="str">
        <v>TP02</v>
      </c>
      <c r="K19" t="str">
        <v>Travaux de génie civil et d’ouvrages d’art neufs ou rénovation</v>
      </c>
      <c r="L19" s="4">
        <v>0.23651079136690645</v>
      </c>
    </row>
    <row r="20" spans="1:12">
      <c r="A20" t="s">
        <v>32</v>
      </c>
      <c r="B20" t="s">
        <v>11</v>
      </c>
      <c r="C20" s="20">
        <v>0.18049225159525983</v>
      </c>
      <c r="J20" t="str">
        <v>TP01</v>
      </c>
      <c r="K20" t="str">
        <v>Index général tous travaux</v>
      </c>
      <c r="L20" s="4">
        <v>0.2320596458527493</v>
      </c>
    </row>
    <row r="21" spans="1:12">
      <c r="A21" t="s">
        <v>33</v>
      </c>
      <c r="B21" t="s">
        <v>12</v>
      </c>
      <c r="C21" s="20" t="e">
        <v>#N/A</v>
      </c>
      <c r="J21" t="str">
        <v>TP08</v>
      </c>
      <c r="K21" t="str">
        <v>Travaux d’aménagement et entretien de voirie en zonesrurale et urbaine</v>
      </c>
      <c r="L21" s="4">
        <v>0.22930542340627968</v>
      </c>
    </row>
    <row r="22" spans="1:12">
      <c r="A22" t="s">
        <v>269</v>
      </c>
      <c r="B22" t="s">
        <v>276</v>
      </c>
      <c r="C22" s="20" t="e">
        <v>#N/A</v>
      </c>
      <c r="J22" t="str">
        <v>TP04</v>
      </c>
      <c r="K22" t="str">
        <v xml:space="preserve">Fondations et travaux géotechniques </v>
      </c>
      <c r="L22" s="4">
        <v>0.22648401826484021</v>
      </c>
    </row>
    <row r="23" spans="1:12">
      <c r="A23" s="80" t="s">
        <v>270</v>
      </c>
      <c r="B23" s="80" t="s">
        <v>277</v>
      </c>
      <c r="C23" s="20">
        <v>0.22428174235403131</v>
      </c>
      <c r="J23" t="str">
        <v>TP10b</v>
      </c>
      <c r="K23" t="str">
        <v>Canalisations sans fourniture de tuyaux</v>
      </c>
      <c r="L23" s="4">
        <v>0.22524977293369686</v>
      </c>
    </row>
    <row r="24" spans="1:12">
      <c r="A24" s="80" t="s">
        <v>34</v>
      </c>
      <c r="B24" s="80" t="s">
        <v>13</v>
      </c>
      <c r="C24" s="20">
        <v>0.2858536585365854</v>
      </c>
      <c r="J24" t="str">
        <v>TP10f</v>
      </c>
      <c r="K24" t="str">
        <v>Canalisations, assainnissement et adduction d'eau avec fourniture de tuyaux avec fourniture de tuyaux multi-matériaux</v>
      </c>
      <c r="L24" s="4">
        <v>0.22428174235403131</v>
      </c>
    </row>
    <row r="25" spans="1:12">
      <c r="A25" t="s">
        <v>35</v>
      </c>
      <c r="B25" t="s">
        <v>14</v>
      </c>
      <c r="C25" s="20">
        <v>0.26238532110091728</v>
      </c>
      <c r="J25" t="str">
        <v>TP09</v>
      </c>
      <c r="K25" t="str">
        <v>Fabrication et mise en œuvre d’enrobés </v>
      </c>
      <c r="L25" s="4">
        <v>0.20854021847070503</v>
      </c>
    </row>
    <row r="26" spans="1:12">
      <c r="A26" t="s">
        <v>36</v>
      </c>
      <c r="B26" t="s">
        <v>15</v>
      </c>
      <c r="C26" s="20">
        <v>0.19812206572769941</v>
      </c>
      <c r="J26" t="str">
        <v>TP12b</v>
      </c>
      <c r="K26" t="str">
        <v>Éclairage public -Travaux d'installation</v>
      </c>
      <c r="L26" s="4">
        <v>0.19812206572769941</v>
      </c>
    </row>
    <row r="27" spans="1:12">
      <c r="A27" t="s">
        <v>37</v>
      </c>
      <c r="B27" t="s">
        <v>16</v>
      </c>
      <c r="C27" s="20">
        <v>0.18478260869565211</v>
      </c>
      <c r="J27" t="str">
        <v>TP12c</v>
      </c>
      <c r="K27" t="str">
        <v>Éclairage public - Travaux  de maintenance</v>
      </c>
      <c r="L27" s="4">
        <v>0.18478260869565211</v>
      </c>
    </row>
    <row r="28" spans="1:12">
      <c r="A28" t="s">
        <v>38</v>
      </c>
      <c r="B28" t="s">
        <v>17</v>
      </c>
      <c r="C28" s="20">
        <v>0.1534296028880866</v>
      </c>
      <c r="J28" t="str">
        <v>TP10c</v>
      </c>
      <c r="K28" t="str">
        <v>Réhabilitation de canalisations non visitables</v>
      </c>
      <c r="L28" s="4">
        <v>0.18049225159525983</v>
      </c>
    </row>
    <row r="29" spans="1:12">
      <c r="A29" t="s">
        <v>271</v>
      </c>
      <c r="B29" t="s">
        <v>278</v>
      </c>
      <c r="C29" s="20">
        <v>0.37361623616236161</v>
      </c>
      <c r="J29" t="str">
        <v>TP12d</v>
      </c>
      <c r="K29" t="str">
        <v>Réseaux de communication en fibre optique</v>
      </c>
      <c r="L29" s="4">
        <v>0.1534296028880866</v>
      </c>
    </row>
    <row r="30" spans="1:12">
      <c r="A30" s="80" t="s">
        <v>272</v>
      </c>
      <c r="B30" s="80" t="s">
        <v>315</v>
      </c>
      <c r="C30" s="20" t="e">
        <v>#N/A</v>
      </c>
      <c r="J30" t="str">
        <v>TP03b</v>
      </c>
      <c r="K30" t="str">
        <v>Travaux à l’explosif</v>
      </c>
      <c r="L30" s="4">
        <v>0.12033582089552231</v>
      </c>
    </row>
    <row r="31" spans="1:12">
      <c r="A31" s="20"/>
      <c r="C31" s="20"/>
      <c r="L31" s="4"/>
    </row>
    <row r="32" spans="1:12">
      <c r="A32" s="20"/>
      <c r="C32" s="20"/>
      <c r="L32" s="4"/>
    </row>
    <row r="34" spans="1:26">
      <c r="C34">
        <f>('CUMULS INDEX'!B83/'CUMULS INDEX'!B82)-1</f>
        <v>0.2320596458527493</v>
      </c>
      <c r="D34">
        <f>('CUMULS INDEX'!C83/'CUMULS INDEX'!C82)-1</f>
        <v>0.23651079136690645</v>
      </c>
      <c r="E34">
        <f>('CUMULS INDEX'!D83/'CUMULS INDEX'!D82)-1</f>
        <v>0.25998142989786421</v>
      </c>
      <c r="F34">
        <f>('CUMULS INDEX'!E83/'CUMULS INDEX'!E82)-1</f>
        <v>0.12033582089552231</v>
      </c>
      <c r="G34">
        <f>('CUMULS INDEX'!F83/'CUMULS INDEX'!F82)-1</f>
        <v>0.22648401826484021</v>
      </c>
      <c r="H34">
        <f>('CUMULS INDEX'!G83/'CUMULS INDEX'!G82)-1</f>
        <v>0.25551470588235303</v>
      </c>
      <c r="I34">
        <f>('CUMULS INDEX'!H83/'CUMULS INDEX'!H82)-1</f>
        <v>0.26703499079189696</v>
      </c>
      <c r="J34">
        <f>('CUMULS INDEX'!I83/'CUMULS INDEX'!I82)-1</f>
        <v>0.26982680036463091</v>
      </c>
      <c r="K34">
        <f>('CUMULS INDEX'!J83/'CUMULS INDEX'!J82)-1</f>
        <v>0.25585754451733833</v>
      </c>
      <c r="L34">
        <f>('CUMULS INDEX'!K83/'CUMULS INDEX'!K82)-1</f>
        <v>0.3057929724596391</v>
      </c>
      <c r="M34">
        <f>('CUMULS INDEX'!L83/'CUMULS INDEX'!L82)-1</f>
        <v>0.22930542340627968</v>
      </c>
      <c r="N34">
        <f>('CUMULS INDEX'!M83/'CUMULS INDEX'!M82)-1</f>
        <v>0.20854021847070503</v>
      </c>
      <c r="O34">
        <f>('CUMULS INDEX'!N83/'CUMULS INDEX'!N82)-1</f>
        <v>0.22524977293369686</v>
      </c>
      <c r="P34">
        <f>('CUMULS INDEX'!O83/'CUMULS INDEX'!O82)-1</f>
        <v>0.18049225159525983</v>
      </c>
      <c r="Q34" t="e">
        <f>('CUMULS INDEX'!P83/'CUMULS INDEX'!P82)-1</f>
        <v>#N/A</v>
      </c>
      <c r="R34" t="e">
        <f>('CUMULS INDEX'!Q83/'CUMULS INDEX'!Q82)-1</f>
        <v>#N/A</v>
      </c>
      <c r="S34">
        <f>('CUMULS INDEX'!R83/'CUMULS INDEX'!R82)-1</f>
        <v>0.22428174235403131</v>
      </c>
      <c r="T34">
        <f>('CUMULS INDEX'!S83/'CUMULS INDEX'!S82)-1</f>
        <v>0.2858536585365854</v>
      </c>
      <c r="U34">
        <f>('CUMULS INDEX'!T83/'CUMULS INDEX'!T82)-1</f>
        <v>0.26238532110091728</v>
      </c>
      <c r="V34">
        <f>('CUMULS INDEX'!U83/'CUMULS INDEX'!U82)-1</f>
        <v>0.19812206572769941</v>
      </c>
      <c r="W34">
        <f>('CUMULS INDEX'!V83/'CUMULS INDEX'!V82)-1</f>
        <v>0.18478260869565211</v>
      </c>
      <c r="X34">
        <f>('CUMULS INDEX'!W83/'CUMULS INDEX'!W82)-1</f>
        <v>0.1534296028880866</v>
      </c>
      <c r="Y34">
        <f>('CUMULS INDEX'!X83/'CUMULS INDEX'!X82)-1</f>
        <v>0.37361623616236161</v>
      </c>
      <c r="Z34" t="e">
        <f>('CUMULS INDEX'!Y83/'CUMULS INDEX'!Y82)-1</f>
        <v>#N/A</v>
      </c>
    </row>
    <row r="38" spans="1:26" ht="18.75">
      <c r="A38" s="230" t="s">
        <v>184</v>
      </c>
      <c r="B38" s="230"/>
      <c r="C38" s="230"/>
      <c r="D38" s="230"/>
      <c r="E38" s="230"/>
      <c r="F38" s="230"/>
      <c r="G38" s="230"/>
      <c r="H38" s="230"/>
      <c r="I38" s="230"/>
      <c r="J38" s="230"/>
      <c r="K38" s="230"/>
      <c r="L38" s="230"/>
    </row>
    <row r="39" spans="1:26">
      <c r="C39" s="4"/>
    </row>
    <row r="40" spans="1:26">
      <c r="C40" s="4"/>
    </row>
    <row r="41" spans="1:26">
      <c r="A41" s="242" t="str">
        <f>UPPER('RESULTATS DATE A DATE'!B20)</f>
        <v>EVOLUTION ENTRE JANV. 2018 ET FÉVR. 2026</v>
      </c>
      <c r="B41" s="242"/>
      <c r="C41" s="242"/>
      <c r="J41" s="237" t="s">
        <v>191</v>
      </c>
      <c r="K41" s="237"/>
      <c r="L41" s="237"/>
    </row>
    <row r="42" spans="1:26">
      <c r="A42" t="s">
        <v>47</v>
      </c>
      <c r="B42" t="s">
        <v>115</v>
      </c>
      <c r="C42" s="20" cm="1">
        <f t="array" ref="C42:C80">TRANSPOSE(C84:AO84)</f>
        <v>0.20653218059558109</v>
      </c>
      <c r="J42" cm="1">
        <f t="array" ref="J42:L80">_xlfn._xlws.SORT(A42:C80,3,-1,FALSE)</f>
        <v>10764291</v>
      </c>
      <c r="K42" t="str">
        <v>Électricité vendue aux entreprises consommatrices finales</v>
      </c>
      <c r="L42" s="4">
        <v>0.6761102304147466</v>
      </c>
    </row>
    <row r="43" spans="1:26">
      <c r="A43">
        <v>8308500</v>
      </c>
      <c r="B43" t="s">
        <v>116</v>
      </c>
      <c r="C43" s="20">
        <v>0.20373514431239403</v>
      </c>
      <c r="J43">
        <v>10764297</v>
      </c>
      <c r="K43" t="str">
        <v>Gaz naturel</v>
      </c>
      <c r="L43" s="4">
        <v>0.65443135080645165</v>
      </c>
    </row>
    <row r="44" spans="1:26">
      <c r="A44" t="s">
        <v>49</v>
      </c>
      <c r="B44" t="s">
        <v>117</v>
      </c>
      <c r="C44" s="20">
        <v>0.19635099913119025</v>
      </c>
      <c r="J44">
        <v>10764176</v>
      </c>
      <c r="K44" t="str">
        <v>Ciment, chaux et plâtre</v>
      </c>
      <c r="L44" s="4">
        <v>0.56104389275074484</v>
      </c>
    </row>
    <row r="45" spans="1:26">
      <c r="A45" s="33">
        <v>10777519</v>
      </c>
      <c r="B45" t="s">
        <v>316</v>
      </c>
      <c r="C45" s="20">
        <v>0.53084779348803579</v>
      </c>
      <c r="J45">
        <v>10777519</v>
      </c>
      <c r="K45" t="str">
        <v>GNR pour les Travaux Publics</v>
      </c>
      <c r="L45" s="4">
        <v>0.53084779348803579</v>
      </c>
    </row>
    <row r="46" spans="1:26">
      <c r="A46" t="s">
        <v>50</v>
      </c>
      <c r="B46" t="s">
        <v>118</v>
      </c>
      <c r="C46" s="20">
        <v>0.19216138328530263</v>
      </c>
      <c r="J46">
        <v>10763930</v>
      </c>
      <c r="K46" t="str">
        <v>Fils et câbles d'énergie</v>
      </c>
      <c r="L46" s="4">
        <v>0.45726458752515087</v>
      </c>
    </row>
    <row r="47" spans="1:26">
      <c r="A47" t="s">
        <v>51</v>
      </c>
      <c r="B47" t="s">
        <v>119</v>
      </c>
      <c r="C47" s="20">
        <v>0.174384236453202</v>
      </c>
      <c r="J47">
        <v>10763871</v>
      </c>
      <c r="K47" t="str">
        <v>Produits de voierie en béton</v>
      </c>
      <c r="L47" s="4">
        <v>0.44516324435318255</v>
      </c>
    </row>
    <row r="48" spans="1:26">
      <c r="A48" t="s">
        <v>52</v>
      </c>
      <c r="B48" t="s">
        <v>120</v>
      </c>
      <c r="C48" s="20">
        <v>0.19034090909090917</v>
      </c>
      <c r="J48">
        <v>10764224</v>
      </c>
      <c r="K48" t="str">
        <v>Matériel de distribution et de commande électrique</v>
      </c>
      <c r="L48" s="4">
        <v>0.44339622641509435</v>
      </c>
    </row>
    <row r="49" spans="1:12">
      <c r="A49">
        <v>10764291</v>
      </c>
      <c r="B49" t="s">
        <v>121</v>
      </c>
      <c r="C49" s="20">
        <v>0.6761102304147466</v>
      </c>
      <c r="J49">
        <v>10763825</v>
      </c>
      <c r="K49" t="str">
        <v>Peintures Industries</v>
      </c>
      <c r="L49" s="4">
        <v>0.43992435530085983</v>
      </c>
    </row>
    <row r="50" spans="1:12">
      <c r="A50">
        <v>10764297</v>
      </c>
      <c r="B50" t="s">
        <v>263</v>
      </c>
      <c r="C50" s="20">
        <v>0.65443135080645165</v>
      </c>
      <c r="J50">
        <v>10764172</v>
      </c>
      <c r="K50" t="str">
        <v>Tuiles, briques et produits de construction en terre cuite</v>
      </c>
      <c r="L50" s="4">
        <v>0.43874840319361263</v>
      </c>
    </row>
    <row r="51" spans="1:12">
      <c r="A51" t="s">
        <v>55</v>
      </c>
      <c r="B51" t="s">
        <v>55</v>
      </c>
      <c r="C51" s="20">
        <v>0.26849261288930792</v>
      </c>
      <c r="J51">
        <v>10764180</v>
      </c>
      <c r="K51" t="str">
        <v>Béton prêt à l'emploi</v>
      </c>
      <c r="L51" s="4">
        <v>0.42267228915662658</v>
      </c>
    </row>
    <row r="52" spans="1:12">
      <c r="A52">
        <v>10763845</v>
      </c>
      <c r="B52" t="s">
        <v>122</v>
      </c>
      <c r="C52" s="20">
        <v>0.1658221659919028</v>
      </c>
      <c r="J52">
        <v>10764149</v>
      </c>
      <c r="K52" t="str">
        <v>Autres produits chimiques</v>
      </c>
      <c r="L52" s="4">
        <v>0.41935035105315954</v>
      </c>
    </row>
    <row r="53" spans="1:12">
      <c r="A53" t="s">
        <v>283</v>
      </c>
      <c r="B53" t="s">
        <v>123</v>
      </c>
      <c r="C53" s="20">
        <v>0.39119804400977998</v>
      </c>
      <c r="J53">
        <v>10764195</v>
      </c>
      <c r="K53" t="str">
        <v>Travaux de fonderie de fonte</v>
      </c>
      <c r="L53" s="4">
        <v>0.40840652883569084</v>
      </c>
    </row>
    <row r="54" spans="1:12">
      <c r="A54">
        <v>10764180</v>
      </c>
      <c r="B54" t="s">
        <v>124</v>
      </c>
      <c r="C54" s="20">
        <v>0.42267228915662658</v>
      </c>
      <c r="J54">
        <v>10766292</v>
      </c>
      <c r="K54" t="str">
        <v>Réseaux d’assainissement</v>
      </c>
      <c r="L54" s="4">
        <v>0.40175639922928696</v>
      </c>
    </row>
    <row r="55" spans="1:12">
      <c r="A55">
        <v>10766236</v>
      </c>
      <c r="B55" t="s">
        <v>125</v>
      </c>
      <c r="C55" s="20">
        <v>0.14442934272300478</v>
      </c>
      <c r="J55" t="str">
        <v> 010764116</v>
      </c>
      <c r="K55" t="str">
        <v>Ensemble des produits du sciage</v>
      </c>
      <c r="L55" s="4">
        <v>0.39119804400977998</v>
      </c>
    </row>
    <row r="56" spans="1:12">
      <c r="A56">
        <v>10765500</v>
      </c>
      <c r="B56" t="s">
        <v>126</v>
      </c>
      <c r="C56" s="20">
        <v>0.24382292929292926</v>
      </c>
      <c r="J56">
        <v>10764223</v>
      </c>
      <c r="K56" t="str">
        <v>Moteurs, génératrices, transfo. électr., matér. distrib., cmde électr.</v>
      </c>
      <c r="L56" s="4">
        <v>0.33774901768172905</v>
      </c>
    </row>
    <row r="57" spans="1:12">
      <c r="A57">
        <v>10764160</v>
      </c>
      <c r="B57" t="s">
        <v>127</v>
      </c>
      <c r="C57" s="20">
        <v>0.1631410079051383</v>
      </c>
      <c r="J57">
        <v>10764136</v>
      </c>
      <c r="K57" t="str">
        <v>Bitume</v>
      </c>
      <c r="L57" s="4">
        <v>0.32826277372262758</v>
      </c>
    </row>
    <row r="58" spans="1:12">
      <c r="A58">
        <v>10764176</v>
      </c>
      <c r="B58" t="s">
        <v>128</v>
      </c>
      <c r="C58" s="20">
        <v>0.56104389275074484</v>
      </c>
      <c r="J58">
        <v>10764306</v>
      </c>
      <c r="K58" t="str">
        <v>Traitement et élimination des déchets non dangereux</v>
      </c>
      <c r="L58" s="4">
        <v>0.32039660056657215</v>
      </c>
    </row>
    <row r="59" spans="1:12">
      <c r="A59" s="33">
        <v>10764149</v>
      </c>
      <c r="B59" t="s">
        <v>258</v>
      </c>
      <c r="C59" s="20">
        <v>0.41935035105315954</v>
      </c>
      <c r="J59">
        <v>10764179</v>
      </c>
      <c r="K59" t="str">
        <v>Éléments en béton pour la construction</v>
      </c>
      <c r="L59" s="4">
        <v>0.30526091003102374</v>
      </c>
    </row>
    <row r="60" spans="1:12">
      <c r="A60">
        <v>10765837</v>
      </c>
      <c r="B60" t="s">
        <v>129</v>
      </c>
      <c r="C60" s="20">
        <v>0.20538181818181811</v>
      </c>
      <c r="J60">
        <v>10764187</v>
      </c>
      <c r="K60" t="str">
        <v>Tubes, tuyaux, profilés creux et accessoires correspondants en acier</v>
      </c>
      <c r="L60" s="4">
        <v>0.29368728489483753</v>
      </c>
    </row>
    <row r="61" spans="1:12">
      <c r="A61">
        <v>10764136</v>
      </c>
      <c r="B61" t="s">
        <v>130</v>
      </c>
      <c r="C61" s="20">
        <v>0.32826277372262758</v>
      </c>
      <c r="J61">
        <v>10764301</v>
      </c>
      <c r="K61" t="str">
        <v>Collecte, traitement et élimination des déchets ; récupération de matériaux</v>
      </c>
      <c r="L61" s="4">
        <v>0.26852603266090314</v>
      </c>
    </row>
    <row r="62" spans="1:12">
      <c r="A62">
        <v>10763871</v>
      </c>
      <c r="B62" t="s">
        <v>131</v>
      </c>
      <c r="C62" s="20">
        <v>0.44516324435318255</v>
      </c>
      <c r="J62" t="str">
        <v>Gazole routier HTT</v>
      </c>
      <c r="K62" t="str">
        <v>Gazole routier HTT</v>
      </c>
      <c r="L62" s="4">
        <v>0.26849261288930792</v>
      </c>
    </row>
    <row r="63" spans="1:12">
      <c r="A63">
        <v>10764181</v>
      </c>
      <c r="B63" t="s">
        <v>132</v>
      </c>
      <c r="C63" s="20">
        <v>0.19201079136690624</v>
      </c>
      <c r="J63">
        <v>10764101</v>
      </c>
      <c r="K63" t="str">
        <v>Autres textiles</v>
      </c>
      <c r="L63" s="4">
        <v>0.2620769230769231</v>
      </c>
    </row>
    <row r="64" spans="1:12">
      <c r="A64">
        <v>10764195</v>
      </c>
      <c r="B64" t="s">
        <v>133</v>
      </c>
      <c r="C64" s="20">
        <v>0.40840652883569084</v>
      </c>
      <c r="J64">
        <v>10765500</v>
      </c>
      <c r="K64" t="str">
        <v>Sables et granulats</v>
      </c>
      <c r="L64" s="4">
        <v>0.24382292929292926</v>
      </c>
    </row>
    <row r="65" spans="1:12">
      <c r="A65">
        <v>10764172</v>
      </c>
      <c r="B65" t="s">
        <v>134</v>
      </c>
      <c r="C65" s="20">
        <v>0.43874840319361263</v>
      </c>
      <c r="J65">
        <v>10765839</v>
      </c>
      <c r="K65" t="str">
        <v>Tôles quarto et autres produits plats en aciers non alliés de qualité</v>
      </c>
      <c r="L65" s="4">
        <v>0.23123253128007715</v>
      </c>
    </row>
    <row r="66" spans="1:12">
      <c r="A66" s="160">
        <v>10766292</v>
      </c>
      <c r="B66" t="s">
        <v>266</v>
      </c>
      <c r="C66" s="20">
        <v>0.40175639922928696</v>
      </c>
      <c r="J66" t="str">
        <v>001711009</v>
      </c>
      <c r="K66" t="str">
        <v>Matériel</v>
      </c>
      <c r="L66" s="4">
        <v>0.20653218059558109</v>
      </c>
    </row>
    <row r="67" spans="1:12">
      <c r="A67" s="33">
        <v>10764101</v>
      </c>
      <c r="B67" t="s">
        <v>261</v>
      </c>
      <c r="C67" s="20">
        <v>0.2620769230769231</v>
      </c>
      <c r="J67">
        <v>10765837</v>
      </c>
      <c r="K67" t="str">
        <v>Acier pour la construction</v>
      </c>
      <c r="L67" s="4">
        <v>0.20538181818181811</v>
      </c>
    </row>
    <row r="68" spans="1:12">
      <c r="A68">
        <v>10764143</v>
      </c>
      <c r="B68" t="s">
        <v>135</v>
      </c>
      <c r="C68" s="20">
        <v>6.8392329817833275E-2</v>
      </c>
      <c r="J68">
        <v>8308500</v>
      </c>
      <c r="K68" t="str">
        <v>Travail</v>
      </c>
      <c r="L68" s="4">
        <v>0.20373514431239403</v>
      </c>
    </row>
    <row r="69" spans="1:12">
      <c r="A69">
        <v>10764187</v>
      </c>
      <c r="B69" t="s">
        <v>136</v>
      </c>
      <c r="C69" s="20">
        <v>0.29368728489483753</v>
      </c>
      <c r="J69" t="str">
        <v>001565195</v>
      </c>
      <c r="K69" t="str">
        <v>Travail activités spécialisées</v>
      </c>
      <c r="L69" s="4">
        <v>0.19635099913119025</v>
      </c>
    </row>
    <row r="70" spans="1:12">
      <c r="A70">
        <v>10764179</v>
      </c>
      <c r="B70" t="s">
        <v>137</v>
      </c>
      <c r="C70" s="20">
        <v>0.30526091003102374</v>
      </c>
      <c r="J70" t="str">
        <v>001764283</v>
      </c>
      <c r="K70" t="str">
        <v>Gazole</v>
      </c>
      <c r="L70" s="4">
        <v>0.19216138328530263</v>
      </c>
    </row>
    <row r="71" spans="1:12">
      <c r="A71">
        <v>10763930</v>
      </c>
      <c r="B71" t="s">
        <v>138</v>
      </c>
      <c r="C71" s="20">
        <v>0.45726458752515087</v>
      </c>
      <c r="J71">
        <v>10764181</v>
      </c>
      <c r="K71" t="str">
        <v>Mortiers et bétons secs</v>
      </c>
      <c r="L71" s="4">
        <v>0.19201079136690624</v>
      </c>
    </row>
    <row r="72" spans="1:12">
      <c r="A72">
        <v>10764223</v>
      </c>
      <c r="B72" t="s">
        <v>139</v>
      </c>
      <c r="C72" s="20">
        <v>0.33774901768172905</v>
      </c>
      <c r="J72" t="str">
        <v>001711943</v>
      </c>
      <c r="K72" t="str">
        <v>Transports routiers</v>
      </c>
      <c r="L72" s="4">
        <v>0.19034090909090917</v>
      </c>
    </row>
    <row r="73" spans="1:12">
      <c r="A73">
        <v>10764224</v>
      </c>
      <c r="B73" t="s">
        <v>140</v>
      </c>
      <c r="C73" s="20">
        <v>0.44339622641509435</v>
      </c>
      <c r="J73" t="str">
        <v>001711011</v>
      </c>
      <c r="K73" t="str">
        <v>Frais divers</v>
      </c>
      <c r="L73" s="4">
        <v>0.174384236453202</v>
      </c>
    </row>
    <row r="74" spans="1:12">
      <c r="A74">
        <v>10764228</v>
      </c>
      <c r="B74" t="s">
        <v>141</v>
      </c>
      <c r="C74" s="20">
        <v>4.2174074074074142E-2</v>
      </c>
      <c r="J74">
        <v>10763845</v>
      </c>
      <c r="K74" t="str">
        <v>Tubes, tuyaux en matière plastique</v>
      </c>
      <c r="L74" s="4">
        <v>0.1658221659919028</v>
      </c>
    </row>
    <row r="75" spans="1:12">
      <c r="A75">
        <v>10764834</v>
      </c>
      <c r="B75" t="s">
        <v>142</v>
      </c>
      <c r="C75" s="20">
        <v>-0.1935590566037737</v>
      </c>
      <c r="J75">
        <v>10764160</v>
      </c>
      <c r="K75" t="str">
        <v>Plaques, feuilles, tubes et profilés en matières plastiques</v>
      </c>
      <c r="L75" s="4">
        <v>0.1631410079051383</v>
      </c>
    </row>
    <row r="76" spans="1:12">
      <c r="A76">
        <v>10763825</v>
      </c>
      <c r="B76" t="s">
        <v>143</v>
      </c>
      <c r="C76" s="20">
        <v>0.43992435530085983</v>
      </c>
      <c r="J76">
        <v>10766236</v>
      </c>
      <c r="K76" t="str">
        <v>Barres crénelées ou nervurées pour béton armé</v>
      </c>
      <c r="L76" s="4">
        <v>0.14442934272300478</v>
      </c>
    </row>
    <row r="77" spans="1:12">
      <c r="A77">
        <v>10763881</v>
      </c>
      <c r="B77" t="s">
        <v>144</v>
      </c>
      <c r="C77" s="20">
        <v>0.11846747195858498</v>
      </c>
      <c r="J77">
        <v>10763881</v>
      </c>
      <c r="K77" t="str">
        <v>Produits sidérurgiques en acier non allié</v>
      </c>
      <c r="L77" s="4">
        <v>0.11846747195858498</v>
      </c>
    </row>
    <row r="78" spans="1:12">
      <c r="A78">
        <v>10765839</v>
      </c>
      <c r="B78" t="s">
        <v>145</v>
      </c>
      <c r="C78" s="20">
        <v>0.23123253128007715</v>
      </c>
      <c r="J78">
        <v>10764143</v>
      </c>
      <c r="K78" t="str">
        <v>Matières plastiques sous formes primaires</v>
      </c>
      <c r="L78" s="4">
        <v>6.8392329817833275E-2</v>
      </c>
    </row>
    <row r="79" spans="1:12">
      <c r="A79">
        <v>10764306</v>
      </c>
      <c r="B79" t="s">
        <v>148</v>
      </c>
      <c r="C79" s="20">
        <v>0.32039660056657215</v>
      </c>
      <c r="J79">
        <v>10764228</v>
      </c>
      <c r="K79" t="str">
        <v>Appareils d'éclairage électrique</v>
      </c>
      <c r="L79" s="4">
        <v>4.2174074074074142E-2</v>
      </c>
    </row>
    <row r="80" spans="1:12">
      <c r="A80">
        <v>10764301</v>
      </c>
      <c r="B80" t="s">
        <v>149</v>
      </c>
      <c r="C80" s="20">
        <v>0.26852603266090314</v>
      </c>
      <c r="J80">
        <v>10764834</v>
      </c>
      <c r="K80" t="str">
        <v>Câbles de fibres optiques</v>
      </c>
      <c r="L80" s="4">
        <v>-0.1935590566037737</v>
      </c>
    </row>
    <row r="81" spans="3:43">
      <c r="C81" s="20"/>
      <c r="L81" s="4"/>
    </row>
    <row r="82" spans="3:43">
      <c r="C82" s="20"/>
      <c r="L82" s="4"/>
    </row>
    <row r="84" spans="3:43">
      <c r="C84">
        <f>('CUMULS INDICES'!B205/'CUMULS INDICES'!B204)-1</f>
        <v>0.20653218059558109</v>
      </c>
      <c r="D84">
        <f>('CUMULS INDICES'!C205/'CUMULS INDICES'!C204)-1</f>
        <v>0.20373514431239403</v>
      </c>
      <c r="E84">
        <f>('CUMULS INDICES'!D205/'CUMULS INDICES'!D204)-1</f>
        <v>0.19635099913119025</v>
      </c>
      <c r="F84">
        <f>('CUMULS INDICES'!E205/'CUMULS INDICES'!E204)-1</f>
        <v>0.53084779348803579</v>
      </c>
      <c r="G84">
        <f>('CUMULS INDICES'!F205/'CUMULS INDICES'!F204)-1</f>
        <v>0.19216138328530263</v>
      </c>
      <c r="H84">
        <f>('CUMULS INDICES'!G205/'CUMULS INDICES'!G204)-1</f>
        <v>0.174384236453202</v>
      </c>
      <c r="I84">
        <f>('CUMULS INDICES'!H205/'CUMULS INDICES'!H204)-1</f>
        <v>0.19034090909090917</v>
      </c>
      <c r="J84">
        <f>('CUMULS INDICES'!I205/'CUMULS INDICES'!I204)-1</f>
        <v>0.6761102304147466</v>
      </c>
      <c r="K84">
        <f>('CUMULS INDICES'!J205/'CUMULS INDICES'!J204)-1</f>
        <v>0.65443135080645165</v>
      </c>
      <c r="L84">
        <f>('CUMULS INDICES'!K205/'CUMULS INDICES'!K204)-1</f>
        <v>0.26849261288930792</v>
      </c>
      <c r="M84">
        <f>('CUMULS INDICES'!L205/'CUMULS INDICES'!L204)-1</f>
        <v>0.1658221659919028</v>
      </c>
      <c r="N84">
        <f>('CUMULS INDICES'!M205/'CUMULS INDICES'!M204)-1</f>
        <v>0.39119804400977998</v>
      </c>
      <c r="O84">
        <f>('CUMULS INDICES'!N205/'CUMULS INDICES'!N204)-1</f>
        <v>0.42267228915662658</v>
      </c>
      <c r="P84">
        <f>('CUMULS INDICES'!O205/'CUMULS INDICES'!O204)-1</f>
        <v>0.14442934272300478</v>
      </c>
      <c r="Q84">
        <f>('CUMULS INDICES'!P205/'CUMULS INDICES'!P204)-1</f>
        <v>0.24382292929292926</v>
      </c>
      <c r="R84">
        <f>('CUMULS INDICES'!Q205/'CUMULS INDICES'!Q204)-1</f>
        <v>0.1631410079051383</v>
      </c>
      <c r="S84">
        <f>('CUMULS INDICES'!R205/'CUMULS INDICES'!R204)-1</f>
        <v>0.56104389275074484</v>
      </c>
      <c r="T84">
        <f>('CUMULS INDICES'!S205/'CUMULS INDICES'!S204)-1</f>
        <v>0.41935035105315954</v>
      </c>
      <c r="U84">
        <f>('CUMULS INDICES'!T205/'CUMULS INDICES'!T204)-1</f>
        <v>0.20538181818181811</v>
      </c>
      <c r="V84">
        <f>('CUMULS INDICES'!U205/'CUMULS INDICES'!U204)-1</f>
        <v>0.32826277372262758</v>
      </c>
      <c r="W84">
        <f>('CUMULS INDICES'!V205/'CUMULS INDICES'!V204)-1</f>
        <v>0.44516324435318255</v>
      </c>
      <c r="X84">
        <f>('CUMULS INDICES'!W205/'CUMULS INDICES'!W204)-1</f>
        <v>0.19201079136690624</v>
      </c>
      <c r="Y84">
        <f>('CUMULS INDICES'!X205/'CUMULS INDICES'!X204)-1</f>
        <v>0.40840652883569084</v>
      </c>
      <c r="Z84">
        <f>('CUMULS INDICES'!Y205/'CUMULS INDICES'!Y204)-1</f>
        <v>0.43874840319361263</v>
      </c>
      <c r="AA84">
        <f>('CUMULS INDICES'!Z205/'CUMULS INDICES'!Z204)-1</f>
        <v>0.40175639922928696</v>
      </c>
      <c r="AB84">
        <f>('CUMULS INDICES'!AA205/'CUMULS INDICES'!AA204)-1</f>
        <v>0.2620769230769231</v>
      </c>
      <c r="AC84">
        <f>('CUMULS INDICES'!AB205/'CUMULS INDICES'!AB204)-1</f>
        <v>6.8392329817833275E-2</v>
      </c>
      <c r="AD84">
        <f>('CUMULS INDICES'!AC205/'CUMULS INDICES'!AC204)-1</f>
        <v>0.29368728489483753</v>
      </c>
      <c r="AE84">
        <f>('CUMULS INDICES'!AD205/'CUMULS INDICES'!AD204)-1</f>
        <v>0.30526091003102374</v>
      </c>
      <c r="AF84">
        <f>('CUMULS INDICES'!AE205/'CUMULS INDICES'!AE204)-1</f>
        <v>0.45726458752515087</v>
      </c>
      <c r="AG84">
        <f>('CUMULS INDICES'!AF205/'CUMULS INDICES'!AF204)-1</f>
        <v>0.33774901768172905</v>
      </c>
      <c r="AH84">
        <f>('CUMULS INDICES'!AG205/'CUMULS INDICES'!AG204)-1</f>
        <v>0.44339622641509435</v>
      </c>
      <c r="AI84">
        <f>('CUMULS INDICES'!AH205/'CUMULS INDICES'!AH204)-1</f>
        <v>4.2174074074074142E-2</v>
      </c>
      <c r="AJ84">
        <f>('CUMULS INDICES'!AI205/'CUMULS INDICES'!AI204)-1</f>
        <v>-0.1935590566037737</v>
      </c>
      <c r="AK84">
        <f>('CUMULS INDICES'!AJ205/'CUMULS INDICES'!AJ204)-1</f>
        <v>0.43992435530085983</v>
      </c>
      <c r="AL84">
        <f>('CUMULS INDICES'!AK205/'CUMULS INDICES'!AK204)-1</f>
        <v>0.11846747195858498</v>
      </c>
      <c r="AM84">
        <f>('CUMULS INDICES'!AL205/'CUMULS INDICES'!AL204)-1</f>
        <v>0.23123253128007715</v>
      </c>
      <c r="AN84">
        <f>('CUMULS INDICES'!AM205/'CUMULS INDICES'!AM204)-1</f>
        <v>0.32039660056657215</v>
      </c>
      <c r="AO84">
        <f>('CUMULS INDICES'!AN205/'CUMULS INDICES'!AN204)-1</f>
        <v>0.26852603266090314</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workbookViewId="0">
      <selection activeCell="B9" sqref="B9"/>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43" t="s">
        <v>246</v>
      </c>
      <c r="B1" s="244"/>
      <c r="C1" s="244"/>
      <c r="D1" s="244"/>
      <c r="E1" s="244"/>
      <c r="F1" s="244"/>
      <c r="G1" s="244"/>
    </row>
    <row r="2" spans="1:13">
      <c r="A2" s="244"/>
      <c r="B2" s="244"/>
      <c r="C2" s="244"/>
      <c r="D2" s="244"/>
      <c r="E2" s="244"/>
      <c r="F2" s="244"/>
      <c r="G2" s="244"/>
    </row>
    <row r="4" spans="1:13">
      <c r="A4" s="245" t="s">
        <v>247</v>
      </c>
      <c r="B4" s="246"/>
      <c r="C4" s="246"/>
      <c r="D4" s="246"/>
      <c r="E4" s="246"/>
    </row>
    <row r="6" spans="1:13">
      <c r="A6" s="3"/>
      <c r="B6" s="237" t="s">
        <v>187</v>
      </c>
      <c r="C6" s="237"/>
      <c r="D6" s="237"/>
      <c r="E6" s="237"/>
      <c r="J6" s="237" t="s">
        <v>188</v>
      </c>
      <c r="K6" s="237"/>
      <c r="L6" s="237"/>
      <c r="M6" s="237"/>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1.1008072586563555E-2</v>
      </c>
      <c r="E8" s="4" cm="1">
        <f t="array" ref="E8:E46">TRANSPOSE(D51:AP51)</f>
        <v>2.7877636844604092E-2</v>
      </c>
      <c r="I8" t="str" cm="1">
        <f t="array" ref="I8:M46">_xlfn._xlws.SORT(A8:E46,4,-1,FALSE)</f>
        <v>https://www.insee.fr/fr/statistiques/serie/010534698</v>
      </c>
      <c r="J8" t="str">
        <v>010764224</v>
      </c>
      <c r="K8" t="str">
        <v>Matériel de distribution et de commande électrique</v>
      </c>
      <c r="L8" s="4">
        <v>4.423490258614704E-2</v>
      </c>
      <c r="M8" s="4">
        <v>6.6079020015239687E-2</v>
      </c>
    </row>
    <row r="9" spans="1:13">
      <c r="A9" s="37" t="s">
        <v>359</v>
      </c>
      <c r="B9">
        <v>8899388</v>
      </c>
      <c r="C9" t="s">
        <v>116</v>
      </c>
      <c r="D9" s="4">
        <v>3.3386719231242701E-2</v>
      </c>
      <c r="E9" s="4">
        <v>6.2444585180494006E-2</v>
      </c>
      <c r="I9" t="str">
        <v>https://www.insee.fr/fr/statistiques/serie/010534696</v>
      </c>
      <c r="J9" t="str">
        <v>010764223</v>
      </c>
      <c r="K9" t="str">
        <v>Moteurs, génératrices, transfo. électr., matér. distrib., cmde électr.</v>
      </c>
      <c r="L9" s="4">
        <v>3.763669933248126E-2</v>
      </c>
      <c r="M9" s="4">
        <v>4.6347769945092265E-2</v>
      </c>
    </row>
    <row r="10" spans="1:13">
      <c r="A10" s="34" t="s">
        <v>85</v>
      </c>
      <c r="B10" s="32" t="s">
        <v>49</v>
      </c>
      <c r="C10" t="s">
        <v>117</v>
      </c>
      <c r="D10" s="4">
        <v>2.34375E-2</v>
      </c>
      <c r="E10" s="4">
        <v>5.0352790250160151E-2</v>
      </c>
      <c r="I10" t="str">
        <v>https://www.insee.fr/fr/statistiques/serie/010534575</v>
      </c>
      <c r="J10" t="str">
        <v> 010764116</v>
      </c>
      <c r="K10" t="str">
        <v>Ensemble des produits du sciage</v>
      </c>
      <c r="L10" s="4">
        <v>3.6686028737388909E-2</v>
      </c>
      <c r="M10" s="4">
        <v>1.8471241928217141E-2</v>
      </c>
    </row>
    <row r="11" spans="1:13">
      <c r="A11" s="33" t="s">
        <v>253</v>
      </c>
      <c r="B11" s="32" t="s">
        <v>317</v>
      </c>
      <c r="C11" t="s">
        <v>316</v>
      </c>
      <c r="D11" s="4">
        <v>3.054065208419332E-2</v>
      </c>
      <c r="E11" s="4">
        <v>5.5112881806108627E-2</v>
      </c>
      <c r="I11" t="str">
        <v>https://www.insee.fr/fr/statistiques/8899388</v>
      </c>
      <c r="J11">
        <v>8899388</v>
      </c>
      <c r="K11" t="str">
        <v>Travail</v>
      </c>
      <c r="L11" s="4">
        <v>3.3386719231242701E-2</v>
      </c>
      <c r="M11" s="4">
        <v>6.2444585180494006E-2</v>
      </c>
    </row>
    <row r="12" spans="1:13">
      <c r="A12" s="37" t="s">
        <v>357</v>
      </c>
      <c r="B12" s="32" t="s">
        <v>358</v>
      </c>
      <c r="C12" t="s">
        <v>118</v>
      </c>
      <c r="D12" s="4">
        <v>-4.0631673597841922E-2</v>
      </c>
      <c r="E12" s="4">
        <v>-9.5897769572980684E-2</v>
      </c>
      <c r="I12" t="str">
        <v>https://www.insee.fr/fr/statistiques/serie/010758171#Tableau</v>
      </c>
      <c r="J12" t="str">
        <v>010777519</v>
      </c>
      <c r="K12" t="str">
        <v>GNR pour les Travaux Publics</v>
      </c>
      <c r="L12" s="4">
        <v>3.054065208419332E-2</v>
      </c>
      <c r="M12" s="4">
        <v>5.5112881806108627E-2</v>
      </c>
    </row>
    <row r="13" spans="1:13">
      <c r="A13" s="34" t="s">
        <v>87</v>
      </c>
      <c r="B13" s="32" t="s">
        <v>51</v>
      </c>
      <c r="C13" t="s">
        <v>119</v>
      </c>
      <c r="D13" s="4">
        <v>4.7070394829282769E-3</v>
      </c>
      <c r="E13" s="4">
        <v>1.2531860662701844E-2</v>
      </c>
      <c r="I13" t="str">
        <v>https://www.insee.fr/fr/statistiques/serie/010534554</v>
      </c>
      <c r="J13" t="str">
        <v>010764101</v>
      </c>
      <c r="K13" t="str">
        <v>Autres textiles</v>
      </c>
      <c r="L13" s="4">
        <v>2.4122807017543879E-2</v>
      </c>
      <c r="M13" s="4">
        <v>3.4115461474120368E-2</v>
      </c>
    </row>
    <row r="14" spans="1:13">
      <c r="A14" s="34" t="s">
        <v>88</v>
      </c>
      <c r="B14" s="32" t="s">
        <v>52</v>
      </c>
      <c r="C14" t="s">
        <v>120</v>
      </c>
      <c r="D14" s="4">
        <v>1.1708498755130803E-2</v>
      </c>
      <c r="E14" s="4">
        <v>4.2143203715256261E-2</v>
      </c>
      <c r="I14" t="str">
        <v>https://www.insee.fr/fr/statistiques/serie/001565195</v>
      </c>
      <c r="J14" t="str">
        <v>001565195</v>
      </c>
      <c r="K14" t="str">
        <v>Travail activités spécialisées</v>
      </c>
      <c r="L14" s="4">
        <v>2.34375E-2</v>
      </c>
      <c r="M14" s="4">
        <v>5.0352790250160151E-2</v>
      </c>
    </row>
    <row r="15" spans="1:13">
      <c r="A15" s="34" t="s">
        <v>89</v>
      </c>
      <c r="B15" s="187" t="s">
        <v>320</v>
      </c>
      <c r="C15" t="s">
        <v>121</v>
      </c>
      <c r="D15" s="4">
        <v>-0.1544076043906305</v>
      </c>
      <c r="E15" s="4">
        <v>-0.35953140967218011</v>
      </c>
      <c r="I15" t="str">
        <v>https://www.insee.fr/fr/statistiques/serie/010534646</v>
      </c>
      <c r="J15" t="str">
        <v>010764180</v>
      </c>
      <c r="K15" t="str">
        <v>Béton prêt à l'emploi</v>
      </c>
      <c r="L15" s="4">
        <v>2.1189999353963263E-2</v>
      </c>
      <c r="M15" s="4">
        <v>2.717145703417545E-2</v>
      </c>
    </row>
    <row r="16" spans="1:13">
      <c r="A16" s="159" t="s">
        <v>265</v>
      </c>
      <c r="B16" s="187" t="s">
        <v>321</v>
      </c>
      <c r="C16" t="s">
        <v>263</v>
      </c>
      <c r="D16" s="4">
        <v>-6.2920089619118658E-2</v>
      </c>
      <c r="E16" s="4">
        <v>-7.5689452659559731E-2</v>
      </c>
      <c r="I16" t="str">
        <v>https://www.insee.fr/fr/statistiques/serie/010764306</v>
      </c>
      <c r="J16" t="str">
        <v>010764306</v>
      </c>
      <c r="K16" t="str">
        <v>Traitement et élimination des déchets non dangereux</v>
      </c>
      <c r="L16" s="4">
        <v>2.1079136690647537E-2</v>
      </c>
      <c r="M16" s="4">
        <v>5.6113356749632581E-2</v>
      </c>
    </row>
    <row r="17" spans="1:13" ht="30">
      <c r="A17" s="34" t="s">
        <v>90</v>
      </c>
      <c r="B17" s="32" t="s">
        <v>55</v>
      </c>
      <c r="C17" t="s">
        <v>55</v>
      </c>
      <c r="D17" s="4">
        <v>-7.3506937898684788E-2</v>
      </c>
      <c r="E17" s="4">
        <v>-0.15843118508251097</v>
      </c>
      <c r="I17" t="str">
        <v>https://www.insee.fr/fr/statistiques/serie/010534330</v>
      </c>
      <c r="J17" t="str">
        <v>010763930</v>
      </c>
      <c r="K17" t="str">
        <v>Fils et câbles d'énergie</v>
      </c>
      <c r="L17" s="4">
        <v>1.3670173557595477E-2</v>
      </c>
      <c r="M17" s="4">
        <v>7.0585483201217825E-2</v>
      </c>
    </row>
    <row r="18" spans="1:13">
      <c r="A18" s="34" t="s">
        <v>91</v>
      </c>
      <c r="B18" s="32" t="s">
        <v>322</v>
      </c>
      <c r="C18" t="s">
        <v>122</v>
      </c>
      <c r="D18" s="4">
        <v>-2.1667337897704475E-2</v>
      </c>
      <c r="E18" s="4">
        <v>-0.10704148576265216</v>
      </c>
      <c r="I18" t="str">
        <v>https://www.insee.fr/fr/statistiques/serie/010534252</v>
      </c>
      <c r="J18" t="str">
        <v>010763871</v>
      </c>
      <c r="K18" t="str">
        <v>Produits de voierie en béton</v>
      </c>
      <c r="L18" s="4">
        <v>1.3508247824392638E-2</v>
      </c>
      <c r="M18" s="4">
        <v>6.3398990898735352E-3</v>
      </c>
    </row>
    <row r="19" spans="1:13">
      <c r="A19" s="34" t="s">
        <v>92</v>
      </c>
      <c r="B19" s="187" t="s">
        <v>283</v>
      </c>
      <c r="C19" t="s">
        <v>123</v>
      </c>
      <c r="D19" s="4">
        <v>3.6686028737388909E-2</v>
      </c>
      <c r="E19" s="4">
        <v>1.8471241928217141E-2</v>
      </c>
      <c r="I19" t="str">
        <v>https://www.insee.fr/fr/statistiques/serie/010534642</v>
      </c>
      <c r="J19" t="str">
        <v>010764176</v>
      </c>
      <c r="K19" t="str">
        <v>Ciment, chaux et plâtre</v>
      </c>
      <c r="L19" s="4">
        <v>1.2791441362870026E-2</v>
      </c>
      <c r="M19" s="4">
        <v>2.0978667740955359E-2</v>
      </c>
    </row>
    <row r="20" spans="1:13">
      <c r="A20" s="34" t="s">
        <v>93</v>
      </c>
      <c r="B20" s="187" t="s">
        <v>323</v>
      </c>
      <c r="C20" t="s">
        <v>124</v>
      </c>
      <c r="D20" s="4">
        <v>2.1189999353963263E-2</v>
      </c>
      <c r="E20" s="4">
        <v>2.717145703417545E-2</v>
      </c>
      <c r="I20" t="str">
        <v>https://www.insee.fr/fr/statistiques/serie/010534613</v>
      </c>
      <c r="J20" t="str">
        <v>010764149</v>
      </c>
      <c r="K20" t="str">
        <v>Autres produits chimiques</v>
      </c>
      <c r="L20" s="4">
        <v>1.205370765944469E-2</v>
      </c>
      <c r="M20" s="4">
        <v>-4.9328447954951837E-2</v>
      </c>
    </row>
    <row r="21" spans="1:13">
      <c r="A21" s="34" t="s">
        <v>94</v>
      </c>
      <c r="B21" s="187" t="s">
        <v>324</v>
      </c>
      <c r="C21" t="s">
        <v>125</v>
      </c>
      <c r="D21" s="4">
        <v>-4.5514887161008932E-3</v>
      </c>
      <c r="E21" s="4">
        <v>-4.9316426946863334E-2</v>
      </c>
      <c r="I21" t="str">
        <v>https://www.insee.fr/fr/statistiques/serie/001711943</v>
      </c>
      <c r="J21" t="str">
        <v>001711943</v>
      </c>
      <c r="K21" t="str">
        <v>Transports routiers</v>
      </c>
      <c r="L21" s="4">
        <v>1.1708498755130803E-2</v>
      </c>
      <c r="M21" s="4">
        <v>4.2143203715256261E-2</v>
      </c>
    </row>
    <row r="22" spans="1:13">
      <c r="A22" s="34" t="s">
        <v>95</v>
      </c>
      <c r="B22" s="196" t="s">
        <v>319</v>
      </c>
      <c r="C22" t="s">
        <v>126</v>
      </c>
      <c r="D22" s="4">
        <v>6.56328885683366E-3</v>
      </c>
      <c r="E22" s="4">
        <v>5.4298108504939879E-3</v>
      </c>
      <c r="I22" t="str">
        <v>https://www.insee.fr/fr/statistiques/serie/001711009</v>
      </c>
      <c r="J22" t="str">
        <v>001711009</v>
      </c>
      <c r="K22" t="str">
        <v>Matériel</v>
      </c>
      <c r="L22" s="4">
        <v>1.1008072586563555E-2</v>
      </c>
      <c r="M22" s="4">
        <v>2.7877636844604092E-2</v>
      </c>
    </row>
    <row r="23" spans="1:13">
      <c r="A23" s="34" t="s">
        <v>96</v>
      </c>
      <c r="B23" s="32" t="s">
        <v>325</v>
      </c>
      <c r="C23" t="s">
        <v>127</v>
      </c>
      <c r="D23" s="4">
        <v>-1.3317847464188626E-2</v>
      </c>
      <c r="E23" s="4">
        <v>-4.8217743950795255E-2</v>
      </c>
      <c r="I23" t="str">
        <v>https://www.insee.fr/fr/statistiques/serie/010534662</v>
      </c>
      <c r="J23" t="str">
        <v>010764195</v>
      </c>
      <c r="K23" t="str">
        <v>Travaux de fonderie de fonte</v>
      </c>
      <c r="L23" s="4">
        <v>1.0322749248660834E-2</v>
      </c>
      <c r="M23" s="4">
        <v>-1.4115016836271588E-2</v>
      </c>
    </row>
    <row r="24" spans="1:13">
      <c r="A24" s="34" t="s">
        <v>97</v>
      </c>
      <c r="B24" s="32" t="s">
        <v>326</v>
      </c>
      <c r="C24" t="s">
        <v>128</v>
      </c>
      <c r="D24" s="4">
        <v>1.2791441362870026E-2</v>
      </c>
      <c r="E24" s="4">
        <v>2.0978667740955359E-2</v>
      </c>
      <c r="I24" t="str">
        <v>https://www.insee.fr/fr/statistiques/serie/010536067</v>
      </c>
      <c r="J24" t="str">
        <v>010765500</v>
      </c>
      <c r="K24" t="str">
        <v>Sables et granulats</v>
      </c>
      <c r="L24" s="4">
        <v>6.56328885683366E-3</v>
      </c>
      <c r="M24" s="4">
        <v>5.4298108504939879E-3</v>
      </c>
    </row>
    <row r="25" spans="1:13">
      <c r="A25" s="34" t="s">
        <v>257</v>
      </c>
      <c r="B25" s="32" t="s">
        <v>327</v>
      </c>
      <c r="C25" t="s">
        <v>258</v>
      </c>
      <c r="D25" s="4">
        <v>1.205370765944469E-2</v>
      </c>
      <c r="E25" s="4">
        <v>-4.9328447954951837E-2</v>
      </c>
      <c r="I25" t="str">
        <v>https://www.insee.fr/fr/statistiques/serie/001711011</v>
      </c>
      <c r="J25" t="str">
        <v>001711011</v>
      </c>
      <c r="K25" t="str">
        <v>Frais divers</v>
      </c>
      <c r="L25" s="4">
        <v>4.7070394829282769E-3</v>
      </c>
      <c r="M25" s="4">
        <v>1.2531860662701844E-2</v>
      </c>
    </row>
    <row r="26" spans="1:13">
      <c r="A26" s="34" t="s">
        <v>98</v>
      </c>
      <c r="B26" s="32" t="s">
        <v>328</v>
      </c>
      <c r="C26" t="s">
        <v>129</v>
      </c>
      <c r="D26" s="4">
        <v>-5.5399146308238167E-3</v>
      </c>
      <c r="E26" s="4">
        <v>-6.7468099995741437E-2</v>
      </c>
      <c r="I26" t="str">
        <v>https://www.insee.fr/fr/statistiques/serie/010534638</v>
      </c>
      <c r="J26" t="str">
        <v>010764172</v>
      </c>
      <c r="K26" t="str">
        <v>Tuiles, briques et produits de construction en terre cuite</v>
      </c>
      <c r="L26" s="4">
        <v>3.6643239022045027E-3</v>
      </c>
      <c r="M26" s="4">
        <v>2.6671670991949004E-3</v>
      </c>
    </row>
    <row r="27" spans="1:13">
      <c r="A27" s="34" t="s">
        <v>99</v>
      </c>
      <c r="B27" s="32" t="s">
        <v>329</v>
      </c>
      <c r="C27" t="s">
        <v>130</v>
      </c>
      <c r="D27" s="4">
        <v>-0.11333730080010584</v>
      </c>
      <c r="E27" s="4">
        <v>-8.8568585480615414E-2</v>
      </c>
      <c r="I27" t="str">
        <v>https://www.insee.fr/fr/statistiques/serie/010534702</v>
      </c>
      <c r="J27" t="str">
        <v>010764228</v>
      </c>
      <c r="K27" t="str">
        <v>Appareils d'éclairage électrique</v>
      </c>
      <c r="L27" s="4">
        <v>2.3446658851113966E-3</v>
      </c>
      <c r="M27" s="4">
        <v>-1.8369465452405698E-2</v>
      </c>
    </row>
    <row r="28" spans="1:13">
      <c r="A28" s="34" t="s">
        <v>100</v>
      </c>
      <c r="B28" s="32" t="s">
        <v>330</v>
      </c>
      <c r="C28" t="s">
        <v>131</v>
      </c>
      <c r="D28" s="4">
        <v>1.3508247824392638E-2</v>
      </c>
      <c r="E28" s="4">
        <v>6.3398990898735352E-3</v>
      </c>
      <c r="I28" t="str">
        <v>https://www.insee.fr/fr/statistiques/serie/010760506</v>
      </c>
      <c r="J28" t="str">
        <v>010766292</v>
      </c>
      <c r="K28" t="str">
        <v>Réseaux d’assainissement</v>
      </c>
      <c r="L28" s="4">
        <v>1.9455252918310073E-4</v>
      </c>
      <c r="M28" s="4">
        <v>2.1165392142347805E-2</v>
      </c>
    </row>
    <row r="29" spans="1:13">
      <c r="A29" s="34" t="s">
        <v>101</v>
      </c>
      <c r="B29" s="32" t="s">
        <v>331</v>
      </c>
      <c r="C29" t="s">
        <v>132</v>
      </c>
      <c r="D29" s="4">
        <v>-1.0471582292193471E-2</v>
      </c>
      <c r="E29" s="4">
        <v>-5.0635520083891494E-3</v>
      </c>
      <c r="I29" t="str">
        <v>https://www.insee.fr/fr/statistiques/serie/010546545</v>
      </c>
      <c r="J29" t="str">
        <v>010766236</v>
      </c>
      <c r="K29" t="str">
        <v>Barres crénelées ou nervurées pour béton armé</v>
      </c>
      <c r="L29" s="4">
        <v>-4.5514887161008932E-3</v>
      </c>
      <c r="M29" s="4">
        <v>-4.9316426946863334E-2</v>
      </c>
    </row>
    <row r="30" spans="1:13">
      <c r="A30" s="34" t="s">
        <v>102</v>
      </c>
      <c r="B30" s="32" t="s">
        <v>332</v>
      </c>
      <c r="C30" t="s">
        <v>133</v>
      </c>
      <c r="D30" s="4">
        <v>1.0322749248660834E-2</v>
      </c>
      <c r="E30" s="4">
        <v>-1.4115016836271588E-2</v>
      </c>
      <c r="I30" t="str">
        <v>https://www.insee.fr/fr/statistiques/serie/010536462</v>
      </c>
      <c r="J30" t="str">
        <v>010765837</v>
      </c>
      <c r="K30" t="str">
        <v>Acier pour la construction</v>
      </c>
      <c r="L30" s="4">
        <v>-5.5399146308238167E-3</v>
      </c>
      <c r="M30" s="4">
        <v>-6.7468099995741437E-2</v>
      </c>
    </row>
    <row r="31" spans="1:13">
      <c r="A31" s="34" t="s">
        <v>103</v>
      </c>
      <c r="B31" s="32" t="s">
        <v>333</v>
      </c>
      <c r="C31" t="s">
        <v>134</v>
      </c>
      <c r="D31" s="4">
        <v>3.6643239022045027E-3</v>
      </c>
      <c r="E31" s="4">
        <v>2.6671670991949004E-3</v>
      </c>
      <c r="I31" t="str">
        <v>https://www.insee.fr/fr/statistiques/serie/010534647</v>
      </c>
      <c r="J31" t="str">
        <v>010764181</v>
      </c>
      <c r="K31" t="str">
        <v>Mortiers et bétons secs</v>
      </c>
      <c r="L31" s="4">
        <v>-1.0471582292193471E-2</v>
      </c>
      <c r="M31" s="4">
        <v>-5.0635520083891494E-3</v>
      </c>
    </row>
    <row r="32" spans="1:13">
      <c r="A32" s="34" t="s">
        <v>267</v>
      </c>
      <c r="B32" s="32" t="s">
        <v>334</v>
      </c>
      <c r="C32" t="s">
        <v>266</v>
      </c>
      <c r="D32" s="4">
        <v>1.9455252918310073E-4</v>
      </c>
      <c r="E32" s="4">
        <v>2.1165392142347805E-2</v>
      </c>
      <c r="I32" t="str">
        <v>https://www.insee.fr/fr/statistiques/serie/010534645</v>
      </c>
      <c r="J32" t="str">
        <v>010764179</v>
      </c>
      <c r="K32" t="str">
        <v>Éléments en béton pour la construction</v>
      </c>
      <c r="L32" s="4">
        <v>-1.0691474590391326E-2</v>
      </c>
      <c r="M32" s="4">
        <v>-4.4885745898487039E-2</v>
      </c>
    </row>
    <row r="33" spans="1:13">
      <c r="A33" s="34" t="s">
        <v>259</v>
      </c>
      <c r="B33" s="32" t="s">
        <v>335</v>
      </c>
      <c r="C33" t="s">
        <v>261</v>
      </c>
      <c r="D33" s="4">
        <v>2.4122807017543879E-2</v>
      </c>
      <c r="E33" s="4">
        <v>3.4115461474120368E-2</v>
      </c>
      <c r="I33" t="str">
        <v>https://www.insee.fr/fr/statistiques/serie/010534180</v>
      </c>
      <c r="J33" t="str">
        <v>010763825</v>
      </c>
      <c r="K33" t="str">
        <v>Peintures Industries</v>
      </c>
      <c r="L33" s="4">
        <v>-1.1883614088820993E-2</v>
      </c>
      <c r="M33" s="4">
        <v>-3.4817680037668275E-2</v>
      </c>
    </row>
    <row r="34" spans="1:13">
      <c r="A34" s="34" t="s">
        <v>104</v>
      </c>
      <c r="B34" s="32" t="s">
        <v>336</v>
      </c>
      <c r="C34" t="s">
        <v>135</v>
      </c>
      <c r="D34" s="4">
        <v>-6.1271067415730074E-2</v>
      </c>
      <c r="E34" s="4">
        <v>-6.837413616047372E-2</v>
      </c>
      <c r="I34" t="str">
        <v>https://www.insee.fr/fr/statistiques/serie/010764301</v>
      </c>
      <c r="J34" t="str">
        <v>010764301</v>
      </c>
      <c r="K34" t="str">
        <v>Collecte, traitement et élimination des déchets ; récupération de matériaux</v>
      </c>
      <c r="L34" s="4">
        <v>-1.215828424709231E-2</v>
      </c>
      <c r="M34" s="4">
        <v>2.3345978709923942E-2</v>
      </c>
    </row>
    <row r="35" spans="1:13">
      <c r="A35" s="34" t="s">
        <v>105</v>
      </c>
      <c r="B35" s="32" t="s">
        <v>337</v>
      </c>
      <c r="C35" t="s">
        <v>136</v>
      </c>
      <c r="D35" s="4">
        <v>-2.0370994940978271E-2</v>
      </c>
      <c r="E35" s="4">
        <v>-7.04263444058707E-2</v>
      </c>
      <c r="I35" t="str">
        <v>https://www.insee.fr/fr/statistiques/serie/010534625</v>
      </c>
      <c r="J35" t="str">
        <v>010764160</v>
      </c>
      <c r="K35" t="str">
        <v>Plaques, feuilles, tubes et profilés en matières plastiques</v>
      </c>
      <c r="L35" s="4">
        <v>-1.3317847464188626E-2</v>
      </c>
      <c r="M35" s="4">
        <v>-4.8217743950795255E-2</v>
      </c>
    </row>
    <row r="36" spans="1:13">
      <c r="A36" s="34" t="s">
        <v>106</v>
      </c>
      <c r="B36" s="32" t="s">
        <v>338</v>
      </c>
      <c r="C36" t="s">
        <v>137</v>
      </c>
      <c r="D36" s="4">
        <v>-1.0691474590391326E-2</v>
      </c>
      <c r="E36" s="4">
        <v>-4.4885745898487039E-2</v>
      </c>
      <c r="I36" t="str">
        <v>https://www.insee.fr/fr/statistiques/serie/010534654</v>
      </c>
      <c r="J36" t="str">
        <v>010764187</v>
      </c>
      <c r="K36" t="str">
        <v>Tubes, tuyaux, profilés creux et accessoires correspondants en acier</v>
      </c>
      <c r="L36" s="4">
        <v>-2.0370994940978271E-2</v>
      </c>
      <c r="M36" s="4">
        <v>-7.04263444058707E-2</v>
      </c>
    </row>
    <row r="37" spans="1:13">
      <c r="A37" s="34" t="s">
        <v>107</v>
      </c>
      <c r="B37" s="32" t="s">
        <v>339</v>
      </c>
      <c r="C37" t="s">
        <v>138</v>
      </c>
      <c r="D37" s="4">
        <v>1.3670173557595477E-2</v>
      </c>
      <c r="E37" s="4">
        <v>7.0585483201217825E-2</v>
      </c>
      <c r="I37" t="str">
        <v>https://www.insee.fr/fr/statistiques/serie/010534207</v>
      </c>
      <c r="J37" t="str">
        <v>010763845</v>
      </c>
      <c r="K37" t="str">
        <v>Tubes, tuyaux en matière plastique</v>
      </c>
      <c r="L37" s="4">
        <v>-2.1667337897704475E-2</v>
      </c>
      <c r="M37" s="4">
        <v>-0.10704148576265216</v>
      </c>
    </row>
    <row r="38" spans="1:13">
      <c r="A38" s="34" t="s">
        <v>108</v>
      </c>
      <c r="B38" s="32" t="s">
        <v>340</v>
      </c>
      <c r="C38" t="s">
        <v>139</v>
      </c>
      <c r="D38" s="4">
        <v>3.763669933248126E-2</v>
      </c>
      <c r="E38" s="4">
        <v>4.6347769945092265E-2</v>
      </c>
      <c r="I38" t="str">
        <v>https://www.insee.fr/fr/statistiques/serie/010534267</v>
      </c>
      <c r="J38" t="str">
        <v>010763881</v>
      </c>
      <c r="K38" t="str">
        <v>Produits sidérurgiques en acier non allié</v>
      </c>
      <c r="L38" s="4">
        <v>-2.3593149248514744E-2</v>
      </c>
      <c r="M38" s="4">
        <v>-9.7687225602870464E-2</v>
      </c>
    </row>
    <row r="39" spans="1:13">
      <c r="A39" s="34" t="s">
        <v>109</v>
      </c>
      <c r="B39" s="32" t="s">
        <v>341</v>
      </c>
      <c r="C39" t="s">
        <v>140</v>
      </c>
      <c r="D39" s="4">
        <v>4.423490258614704E-2</v>
      </c>
      <c r="E39" s="4">
        <v>6.6079020015239687E-2</v>
      </c>
      <c r="I39" t="str">
        <v>https://www.insee.fr/fr/statistiques/serie/011816634</v>
      </c>
      <c r="J39" t="str">
        <v>011816634</v>
      </c>
      <c r="K39" t="str">
        <v>Gazole</v>
      </c>
      <c r="L39" s="4">
        <v>-4.0631673597841922E-2</v>
      </c>
      <c r="M39" s="4">
        <v>-9.5897769572980684E-2</v>
      </c>
    </row>
    <row r="40" spans="1:13">
      <c r="A40" s="34" t="s">
        <v>110</v>
      </c>
      <c r="B40" s="32" t="s">
        <v>342</v>
      </c>
      <c r="C40" t="s">
        <v>141</v>
      </c>
      <c r="D40" s="4">
        <v>2.3446658851113966E-3</v>
      </c>
      <c r="E40" s="4">
        <v>-1.8369465452405698E-2</v>
      </c>
      <c r="I40" t="str">
        <v>https://www.insee.fr/fr/statistiques/serie/010536480</v>
      </c>
      <c r="J40" t="str">
        <v>010765839</v>
      </c>
      <c r="K40" t="str">
        <v>Tôles quarto et autres produits plats en aciers non alliés de qualité</v>
      </c>
      <c r="L40" s="4">
        <v>-4.6443555468825948E-2</v>
      </c>
      <c r="M40" s="4">
        <v>-0.11382678466339347</v>
      </c>
    </row>
    <row r="41" spans="1:13">
      <c r="A41" s="34" t="s">
        <v>111</v>
      </c>
      <c r="B41" s="32" t="s">
        <v>343</v>
      </c>
      <c r="C41" t="s">
        <v>142</v>
      </c>
      <c r="D41" s="4">
        <v>-0.11538120959886655</v>
      </c>
      <c r="E41" s="4">
        <v>-0.18336847979491511</v>
      </c>
      <c r="I41" t="str">
        <v>https://www.insee.fr/fr/statistiques/serie/010534606</v>
      </c>
      <c r="J41" t="str">
        <v>010764143</v>
      </c>
      <c r="K41" t="str">
        <v>Matières plastiques sous formes primaires</v>
      </c>
      <c r="L41" s="4">
        <v>-6.1271067415730074E-2</v>
      </c>
      <c r="M41" s="4">
        <v>-6.837413616047372E-2</v>
      </c>
    </row>
    <row r="42" spans="1:13">
      <c r="A42" s="34" t="s">
        <v>112</v>
      </c>
      <c r="B42" s="32" t="s">
        <v>344</v>
      </c>
      <c r="C42" t="s">
        <v>143</v>
      </c>
      <c r="D42" s="4">
        <v>-1.1883614088820993E-2</v>
      </c>
      <c r="E42" s="4">
        <v>-3.4817680037668275E-2</v>
      </c>
      <c r="I42" t="str">
        <v>https://www.insee.fr/fr/statistiques/serie/010534776</v>
      </c>
      <c r="J42" t="str">
        <v>010764297</v>
      </c>
      <c r="K42" t="str">
        <v>Gaz naturel</v>
      </c>
      <c r="L42" s="4">
        <v>-6.2920089619118658E-2</v>
      </c>
      <c r="M42" s="4">
        <v>-7.5689452659559731E-2</v>
      </c>
    </row>
    <row r="43" spans="1:13">
      <c r="A43" s="34" t="s">
        <v>113</v>
      </c>
      <c r="B43" s="32" t="s">
        <v>345</v>
      </c>
      <c r="C43" t="s">
        <v>144</v>
      </c>
      <c r="D43" s="4">
        <v>-2.3593149248514744E-2</v>
      </c>
      <c r="E43" s="4">
        <v>-9.7687225602870464E-2</v>
      </c>
      <c r="I43" t="str">
        <v>https://www.fntp.fr/sites/default/files/content/indice_gazole_htt.pdf</v>
      </c>
      <c r="J43" t="str">
        <v>Gazole routier HTT</v>
      </c>
      <c r="K43" t="str">
        <v>Gazole routier HTT</v>
      </c>
      <c r="L43" s="4">
        <v>-7.3506937898684788E-2</v>
      </c>
      <c r="M43" s="4">
        <v>-0.15843118508251097</v>
      </c>
    </row>
    <row r="44" spans="1:13">
      <c r="A44" s="34" t="s">
        <v>114</v>
      </c>
      <c r="B44" s="32" t="s">
        <v>346</v>
      </c>
      <c r="C44" t="s">
        <v>145</v>
      </c>
      <c r="D44" s="4">
        <v>-4.6443555468825948E-2</v>
      </c>
      <c r="E44" s="4">
        <v>-0.11382678466339347</v>
      </c>
      <c r="I44" t="str">
        <v>https://www.insee.fr/fr/statistiques/serie/010534598</v>
      </c>
      <c r="J44" t="str">
        <v>010764136</v>
      </c>
      <c r="K44" t="str">
        <v>Bitume</v>
      </c>
      <c r="L44" s="4">
        <v>-0.11333730080010584</v>
      </c>
      <c r="M44" s="4">
        <v>-8.8568585480615414E-2</v>
      </c>
    </row>
    <row r="45" spans="1:13">
      <c r="A45" s="34" t="s">
        <v>309</v>
      </c>
      <c r="B45" s="32" t="s">
        <v>347</v>
      </c>
      <c r="C45" t="s">
        <v>148</v>
      </c>
      <c r="D45" s="4">
        <v>2.1079136690647537E-2</v>
      </c>
      <c r="E45" s="4">
        <v>5.6113356749632581E-2</v>
      </c>
      <c r="I45" t="str">
        <v>https://www.insee.fr/fr/statistiques/serie/010535345</v>
      </c>
      <c r="J45" t="str">
        <v>010764834</v>
      </c>
      <c r="K45" t="str">
        <v>Câbles de fibres optiques</v>
      </c>
      <c r="L45" s="4">
        <v>-0.11538120959886655</v>
      </c>
      <c r="M45" s="4">
        <v>-0.18336847979491511</v>
      </c>
    </row>
    <row r="46" spans="1:13">
      <c r="A46" s="34" t="s">
        <v>310</v>
      </c>
      <c r="B46" s="32" t="s">
        <v>348</v>
      </c>
      <c r="C46" t="s">
        <v>149</v>
      </c>
      <c r="D46" s="4">
        <v>-1.215828424709231E-2</v>
      </c>
      <c r="E46" s="4">
        <v>2.3345978709923942E-2</v>
      </c>
      <c r="I46" t="str">
        <v>https://www.insee.fr/fr/statistiques/serie/010534769</v>
      </c>
      <c r="J46" t="str">
        <v>010764291</v>
      </c>
      <c r="K46" t="str">
        <v>Électricité vendue aux entreprises consommatrices finales</v>
      </c>
      <c r="L46" s="4">
        <v>-0.1544076043906305</v>
      </c>
      <c r="M46" s="4">
        <v>-0.35953140967218011</v>
      </c>
    </row>
    <row r="47" spans="1:13">
      <c r="L47" s="4"/>
      <c r="M47" s="4"/>
    </row>
    <row r="48" spans="1:13">
      <c r="L48" s="4"/>
      <c r="M48" s="4"/>
    </row>
    <row r="50" spans="1:42">
      <c r="C50" t="str">
        <f>'A MODIFIER'!E13</f>
        <v xml:space="preserve">*12 mois </v>
      </c>
      <c r="D50" s="4">
        <f>('CUMULS INDICES'!B117/'CUMULS INDICES'!B132)-1</f>
        <v>1.1008072586563555E-2</v>
      </c>
      <c r="E50" s="4">
        <f>('CUMULS INDICES'!C117/'CUMULS INDICES'!C132)-1</f>
        <v>3.3386719231242701E-2</v>
      </c>
      <c r="F50" s="4">
        <f>('CUMULS INDICES'!D117/'CUMULS INDICES'!D132)-1</f>
        <v>2.34375E-2</v>
      </c>
      <c r="G50" s="4">
        <f>('CUMULS INDICES'!E117/'CUMULS INDICES'!E132)-1</f>
        <v>3.054065208419332E-2</v>
      </c>
      <c r="H50" s="4">
        <f>('CUMULS INDICES'!F117/'CUMULS INDICES'!F132)-1</f>
        <v>-4.0631673597841922E-2</v>
      </c>
      <c r="I50" s="4">
        <f>('CUMULS INDICES'!G117/'CUMULS INDICES'!G132)-1</f>
        <v>4.7070394829282769E-3</v>
      </c>
      <c r="J50" s="4">
        <f>('CUMULS INDICES'!H117/'CUMULS INDICES'!H132)-1</f>
        <v>1.1708498755130803E-2</v>
      </c>
      <c r="K50" s="4">
        <f>('CUMULS INDICES'!I117/'CUMULS INDICES'!I132)-1</f>
        <v>-0.1544076043906305</v>
      </c>
      <c r="L50" s="4">
        <f>('CUMULS INDICES'!J117/'CUMULS INDICES'!J132)-1</f>
        <v>-6.2920089619118658E-2</v>
      </c>
      <c r="M50" s="4">
        <f>('CUMULS INDICES'!K117/'CUMULS INDICES'!K132)-1</f>
        <v>-7.3506937898684788E-2</v>
      </c>
      <c r="N50" s="4">
        <f>('CUMULS INDICES'!L117/'CUMULS INDICES'!L132)-1</f>
        <v>-2.1667337897704475E-2</v>
      </c>
      <c r="O50" s="4">
        <f>('CUMULS INDICES'!M117/'CUMULS INDICES'!M132)-1</f>
        <v>3.6686028737388909E-2</v>
      </c>
      <c r="P50" s="4">
        <f>('CUMULS INDICES'!N117/'CUMULS INDICES'!N132)-1</f>
        <v>2.1189999353963263E-2</v>
      </c>
      <c r="Q50" s="4">
        <f>('CUMULS INDICES'!O117/'CUMULS INDICES'!O132)-1</f>
        <v>-4.5514887161008932E-3</v>
      </c>
      <c r="R50" s="4">
        <f>('CUMULS INDICES'!P117/'CUMULS INDICES'!P132)-1</f>
        <v>6.56328885683366E-3</v>
      </c>
      <c r="S50" s="4">
        <f>('CUMULS INDICES'!Q117/'CUMULS INDICES'!Q132)-1</f>
        <v>-1.3317847464188626E-2</v>
      </c>
      <c r="T50" s="4">
        <f>('CUMULS INDICES'!R117/'CUMULS INDICES'!R132)-1</f>
        <v>1.2791441362870026E-2</v>
      </c>
      <c r="U50" s="4">
        <f>('CUMULS INDICES'!S117/'CUMULS INDICES'!S132)-1</f>
        <v>1.205370765944469E-2</v>
      </c>
      <c r="V50" s="4">
        <f>('CUMULS INDICES'!T117/'CUMULS INDICES'!T132)-1</f>
        <v>-5.5399146308238167E-3</v>
      </c>
      <c r="W50" s="4">
        <f>('CUMULS INDICES'!U117/'CUMULS INDICES'!U132)-1</f>
        <v>-0.11333730080010584</v>
      </c>
      <c r="X50" s="4">
        <f>('CUMULS INDICES'!V117/'CUMULS INDICES'!V132)-1</f>
        <v>1.3508247824392638E-2</v>
      </c>
      <c r="Y50" s="4">
        <f>('CUMULS INDICES'!W117/'CUMULS INDICES'!W132)-1</f>
        <v>-1.0471582292193471E-2</v>
      </c>
      <c r="Z50" s="4">
        <f>('CUMULS INDICES'!X117/'CUMULS INDICES'!X132)-1</f>
        <v>1.0322749248660834E-2</v>
      </c>
      <c r="AA50" s="4">
        <f>('CUMULS INDICES'!Y117/'CUMULS INDICES'!Y132)-1</f>
        <v>3.6643239022045027E-3</v>
      </c>
      <c r="AB50" s="4">
        <f>('CUMULS INDICES'!Z117/'CUMULS INDICES'!Z132)-1</f>
        <v>1.9455252918310073E-4</v>
      </c>
      <c r="AC50" s="4">
        <f>('CUMULS INDICES'!AA117/'CUMULS INDICES'!AA132)-1</f>
        <v>2.4122807017543879E-2</v>
      </c>
      <c r="AD50" s="4">
        <f>('CUMULS INDICES'!AB117/'CUMULS INDICES'!AB132)-1</f>
        <v>-6.1271067415730074E-2</v>
      </c>
      <c r="AE50" s="4">
        <f>('CUMULS INDICES'!AC117/'CUMULS INDICES'!AC132)-1</f>
        <v>-2.0370994940978271E-2</v>
      </c>
      <c r="AF50" s="4">
        <f>('CUMULS INDICES'!AD117/'CUMULS INDICES'!AD132)-1</f>
        <v>-1.0691474590391326E-2</v>
      </c>
      <c r="AG50" s="4">
        <f>('CUMULS INDICES'!AE117/'CUMULS INDICES'!AE132)-1</f>
        <v>1.3670173557595477E-2</v>
      </c>
      <c r="AH50" s="4">
        <f>('CUMULS INDICES'!AF117/'CUMULS INDICES'!AF132)-1</f>
        <v>3.763669933248126E-2</v>
      </c>
      <c r="AI50" s="4">
        <f>('CUMULS INDICES'!AG117/'CUMULS INDICES'!AG132)-1</f>
        <v>4.423490258614704E-2</v>
      </c>
      <c r="AJ50" s="4">
        <f>('CUMULS INDICES'!AH117/'CUMULS INDICES'!AH132)-1</f>
        <v>2.3446658851113966E-3</v>
      </c>
      <c r="AK50" s="4">
        <f>('CUMULS INDICES'!AI117/'CUMULS INDICES'!AI132)-1</f>
        <v>-0.11538120959886655</v>
      </c>
      <c r="AL50" s="4">
        <f>('CUMULS INDICES'!AJ117/'CUMULS INDICES'!AJ132)-1</f>
        <v>-1.1883614088820993E-2</v>
      </c>
      <c r="AM50" s="4">
        <f>('CUMULS INDICES'!AK117/'CUMULS INDICES'!AK132)-1</f>
        <v>-2.3593149248514744E-2</v>
      </c>
      <c r="AN50" s="4">
        <f>('CUMULS INDICES'!AL117/'CUMULS INDICES'!AL132)-1</f>
        <v>-4.6443555468825948E-2</v>
      </c>
      <c r="AO50" s="4">
        <f>('CUMULS INDICES'!AM117/'CUMULS INDICES'!AM132)-1</f>
        <v>2.1079136690647537E-2</v>
      </c>
      <c r="AP50" s="4">
        <f>('CUMULS INDICES'!AN117/'CUMULS INDICES'!AN132)-1</f>
        <v>-1.215828424709231E-2</v>
      </c>
    </row>
    <row r="51" spans="1:42">
      <c r="C51" t="str">
        <f>'A MODIFIER'!E14</f>
        <v>*24 mois</v>
      </c>
      <c r="D51" s="4">
        <f>('CUMULS INDICES'!B117/'CUMULS INDICES'!B147)-1</f>
        <v>2.7877636844604092E-2</v>
      </c>
      <c r="E51" s="4">
        <f>('CUMULS INDICES'!C117/'CUMULS INDICES'!C147)-1</f>
        <v>6.2444585180494006E-2</v>
      </c>
      <c r="F51" s="4">
        <f>('CUMULS INDICES'!D117/'CUMULS INDICES'!D147)-1</f>
        <v>5.0352790250160151E-2</v>
      </c>
      <c r="G51" s="4">
        <f>('CUMULS INDICES'!E117/'CUMULS INDICES'!E147)-1</f>
        <v>5.5112881806108627E-2</v>
      </c>
      <c r="H51" s="4">
        <f>('CUMULS INDICES'!F117/'CUMULS INDICES'!F147)-1</f>
        <v>-9.5897769572980684E-2</v>
      </c>
      <c r="I51" s="4">
        <f>('CUMULS INDICES'!G117/'CUMULS INDICES'!G147)-1</f>
        <v>1.2531860662701844E-2</v>
      </c>
      <c r="J51" s="4">
        <f>('CUMULS INDICES'!H117/'CUMULS INDICES'!H147)-1</f>
        <v>4.2143203715256261E-2</v>
      </c>
      <c r="K51" s="4">
        <f>('CUMULS INDICES'!I117/'CUMULS INDICES'!I147)-1</f>
        <v>-0.35953140967218011</v>
      </c>
      <c r="L51" s="4">
        <f>('CUMULS INDICES'!J117/'CUMULS INDICES'!J147)-1</f>
        <v>-7.5689452659559731E-2</v>
      </c>
      <c r="M51" s="4">
        <f>('CUMULS INDICES'!K117/'CUMULS INDICES'!K147)-1</f>
        <v>-0.15843118508251097</v>
      </c>
      <c r="N51" s="4">
        <f>('CUMULS INDICES'!L117/'CUMULS INDICES'!L147)-1</f>
        <v>-0.10704148576265216</v>
      </c>
      <c r="O51" s="4">
        <f>('CUMULS INDICES'!M117/'CUMULS INDICES'!M147)-1</f>
        <v>1.8471241928217141E-2</v>
      </c>
      <c r="P51" s="4">
        <f>('CUMULS INDICES'!N117/'CUMULS INDICES'!N147)-1</f>
        <v>2.717145703417545E-2</v>
      </c>
      <c r="Q51" s="4">
        <f>('CUMULS INDICES'!O117/'CUMULS INDICES'!O147)-1</f>
        <v>-4.9316426946863334E-2</v>
      </c>
      <c r="R51" s="4">
        <f>('CUMULS INDICES'!P117/'CUMULS INDICES'!P147)-1</f>
        <v>5.4298108504939879E-3</v>
      </c>
      <c r="S51" s="4">
        <f>('CUMULS INDICES'!Q117/'CUMULS INDICES'!Q147)-1</f>
        <v>-4.8217743950795255E-2</v>
      </c>
      <c r="T51" s="4">
        <f>('CUMULS INDICES'!R117/'CUMULS INDICES'!R147)-1</f>
        <v>2.0978667740955359E-2</v>
      </c>
      <c r="U51" s="4">
        <f>('CUMULS INDICES'!S117/'CUMULS INDICES'!S147)-1</f>
        <v>-4.9328447954951837E-2</v>
      </c>
      <c r="V51" s="4">
        <f>('CUMULS INDICES'!T117/'CUMULS INDICES'!T147)-1</f>
        <v>-6.7468099995741437E-2</v>
      </c>
      <c r="W51" s="4">
        <f>('CUMULS INDICES'!U117/'CUMULS INDICES'!U147)-1</f>
        <v>-8.8568585480615414E-2</v>
      </c>
      <c r="X51" s="4">
        <f>('CUMULS INDICES'!V117/'CUMULS INDICES'!V147)-1</f>
        <v>6.3398990898735352E-3</v>
      </c>
      <c r="Y51" s="4">
        <f>('CUMULS INDICES'!W117/'CUMULS INDICES'!W147)-1</f>
        <v>-5.0635520083891494E-3</v>
      </c>
      <c r="Z51" s="4">
        <f>('CUMULS INDICES'!X117/'CUMULS INDICES'!X147)-1</f>
        <v>-1.4115016836271588E-2</v>
      </c>
      <c r="AA51" s="4">
        <f>('CUMULS INDICES'!Y117/'CUMULS INDICES'!Y147)-1</f>
        <v>2.6671670991949004E-3</v>
      </c>
      <c r="AB51" s="4">
        <f>('CUMULS INDICES'!Z117/'CUMULS INDICES'!Z147)-1</f>
        <v>2.1165392142347805E-2</v>
      </c>
      <c r="AC51" s="4">
        <f>('CUMULS INDICES'!AA117/'CUMULS INDICES'!AA147)-1</f>
        <v>3.4115461474120368E-2</v>
      </c>
      <c r="AD51" s="4">
        <f>('CUMULS INDICES'!AB117/'CUMULS INDICES'!AB147)-1</f>
        <v>-6.837413616047372E-2</v>
      </c>
      <c r="AE51" s="4">
        <f>('CUMULS INDICES'!AC117/'CUMULS INDICES'!AC147)-1</f>
        <v>-7.04263444058707E-2</v>
      </c>
      <c r="AF51" s="4">
        <f>('CUMULS INDICES'!AD117/'CUMULS INDICES'!AD147)-1</f>
        <v>-4.4885745898487039E-2</v>
      </c>
      <c r="AG51" s="4">
        <f>('CUMULS INDICES'!AE117/'CUMULS INDICES'!AE147)-1</f>
        <v>7.0585483201217825E-2</v>
      </c>
      <c r="AH51" s="4">
        <f>('CUMULS INDICES'!AF117/'CUMULS INDICES'!AF147)-1</f>
        <v>4.6347769945092265E-2</v>
      </c>
      <c r="AI51" s="4">
        <f>('CUMULS INDICES'!AG117/'CUMULS INDICES'!AG147)-1</f>
        <v>6.6079020015239687E-2</v>
      </c>
      <c r="AJ51" s="4">
        <f>('CUMULS INDICES'!AH117/'CUMULS INDICES'!AH147)-1</f>
        <v>-1.8369465452405698E-2</v>
      </c>
      <c r="AK51" s="4">
        <f>('CUMULS INDICES'!AI117/'CUMULS INDICES'!AI147)-1</f>
        <v>-0.18336847979491511</v>
      </c>
      <c r="AL51" s="4">
        <f>('CUMULS INDICES'!AJ117/'CUMULS INDICES'!AJ147)-1</f>
        <v>-3.4817680037668275E-2</v>
      </c>
      <c r="AM51" s="4">
        <f>('CUMULS INDICES'!AK117/'CUMULS INDICES'!AK147)-1</f>
        <v>-9.7687225602870464E-2</v>
      </c>
      <c r="AN51" s="4">
        <f>('CUMULS INDICES'!AL117/'CUMULS INDICES'!AL147)-1</f>
        <v>-0.11382678466339347</v>
      </c>
      <c r="AO51" s="4">
        <f>('CUMULS INDICES'!AM117/'CUMULS INDICES'!AM147)-1</f>
        <v>5.6113356749632581E-2</v>
      </c>
      <c r="AP51" s="4">
        <f>('CUMULS INDICES'!AN117/'CUMULS INDICES'!AN147)-1</f>
        <v>2.3345978709923942E-2</v>
      </c>
    </row>
    <row r="53" spans="1:42">
      <c r="A53" s="245" t="str">
        <f>"B. EVOLUTION DE JANVIER A "&amp;'A MODIFIER'!F4&amp;" (MOYEN TERME)"</f>
        <v>B. EVOLUTION DE JANVIER A FÉVRIER 2026 (MOYEN TERME)</v>
      </c>
      <c r="B53" s="245"/>
      <c r="C53" s="245"/>
    </row>
    <row r="54" spans="1:42">
      <c r="A54" s="3"/>
    </row>
    <row r="55" spans="1:42">
      <c r="A55" s="3"/>
      <c r="B55" s="237" t="s">
        <v>187</v>
      </c>
      <c r="C55" s="237"/>
      <c r="D55" s="237"/>
      <c r="E55" s="237"/>
      <c r="J55" s="237" t="s">
        <v>188</v>
      </c>
      <c r="K55" s="237"/>
      <c r="L55" s="237"/>
      <c r="M55" s="237"/>
    </row>
    <row r="56" spans="1:42">
      <c r="A56" s="3"/>
      <c r="D56" s="4" t="str" cm="1">
        <f t="array" ref="D56:D95">TRANSPOSE(C100:AP100)</f>
        <v>*/2025</v>
      </c>
      <c r="E56" s="4" t="str" cm="1">
        <f t="array" ref="E56:E95">TRANSPOSE(C101:AP101)</f>
        <v>*/2024</v>
      </c>
      <c r="L56" t="str">
        <f>'A MODIFIER'!E12</f>
        <v>*/2025</v>
      </c>
      <c r="M56" t="str">
        <f>'A MODIFIER'!E11</f>
        <v>*/2024</v>
      </c>
    </row>
    <row r="57" spans="1:42">
      <c r="A57" s="34" t="s">
        <v>84</v>
      </c>
      <c r="B57" s="32" t="s">
        <v>47</v>
      </c>
      <c r="C57" s="136" t="s">
        <v>115</v>
      </c>
      <c r="D57" s="4">
        <v>1.6459253311922994E-2</v>
      </c>
      <c r="E57" s="4">
        <v>2.0556227327690468E-2</v>
      </c>
      <c r="I57" t="str" cm="1">
        <f t="array" ref="I57:M95">_xlfn._xlws.SORT(A57:E95,4,-1,FALSE)</f>
        <v>https://www.insee.fr/fr/statistiques/serie/010764224</v>
      </c>
      <c r="J57" t="str">
        <v>010764224</v>
      </c>
      <c r="K57" t="str">
        <v>Matériel de distribution et de commande électrique</v>
      </c>
      <c r="L57" s="4">
        <v>0.14835164835164849</v>
      </c>
      <c r="M57" s="4">
        <v>0.13729593972373411</v>
      </c>
    </row>
    <row r="58" spans="1:42">
      <c r="A58" s="37" t="s">
        <v>356</v>
      </c>
      <c r="B58">
        <v>8682743</v>
      </c>
      <c r="C58" t="s">
        <v>116</v>
      </c>
      <c r="D58" s="4">
        <v>3.2774945375090958E-2</v>
      </c>
      <c r="E58" s="4">
        <v>6.9381598793363697E-2</v>
      </c>
      <c r="I58" t="str">
        <v>https://www.insee.fr/fr/statistiques/serie/010764223</v>
      </c>
      <c r="J58" t="str">
        <v>010764223</v>
      </c>
      <c r="K58" t="str">
        <v>Moteurs, génératrices, transfo. électr., matér. distrib., cmde électr.</v>
      </c>
      <c r="L58" s="4">
        <v>9.8332620778110114E-2</v>
      </c>
      <c r="M58" s="4">
        <v>9.505541346973545E-2</v>
      </c>
    </row>
    <row r="59" spans="1:42">
      <c r="A59" s="34" t="s">
        <v>85</v>
      </c>
      <c r="B59" s="32" t="s">
        <v>49</v>
      </c>
      <c r="C59" t="s">
        <v>117</v>
      </c>
      <c r="D59" s="4">
        <v>2.1892393320964709E-2</v>
      </c>
      <c r="E59" s="4">
        <v>4.8743335872048599E-2</v>
      </c>
      <c r="I59" t="str">
        <v>https://www.insee.fr/fr/statistiques/serie/010765839</v>
      </c>
      <c r="J59" t="str">
        <v>010765839</v>
      </c>
      <c r="K59" t="str">
        <v>Tôles quarto et autres produits plats en aciers non alliés de qualité</v>
      </c>
      <c r="L59" s="4">
        <v>3.6002482929857083E-2</v>
      </c>
      <c r="M59" s="4">
        <v>-5.546123372948486E-2</v>
      </c>
    </row>
    <row r="60" spans="1:42">
      <c r="A60" s="33" t="s">
        <v>279</v>
      </c>
      <c r="B60" s="32" t="s">
        <v>317</v>
      </c>
      <c r="C60" t="s">
        <v>316</v>
      </c>
      <c r="D60" s="4">
        <v>-1.7268947873361196E-2</v>
      </c>
      <c r="E60" s="4">
        <v>2.7072192513368787E-2</v>
      </c>
      <c r="I60" t="str">
        <v>https://www.insee.fr/fr/statistiques/8682743</v>
      </c>
      <c r="J60">
        <v>8682743</v>
      </c>
      <c r="K60" t="str">
        <v>Travail</v>
      </c>
      <c r="L60" s="4">
        <v>3.2774945375090958E-2</v>
      </c>
      <c r="M60" s="4">
        <v>6.9381598793363697E-2</v>
      </c>
    </row>
    <row r="61" spans="1:42">
      <c r="A61" s="34" t="s">
        <v>86</v>
      </c>
      <c r="B61" s="32" t="s">
        <v>50</v>
      </c>
      <c r="C61" t="s">
        <v>118</v>
      </c>
      <c r="D61" s="4">
        <v>-2.3978982565082463E-2</v>
      </c>
      <c r="E61" s="4">
        <v>-6.3780068728522377E-2</v>
      </c>
      <c r="I61" t="str">
        <v>https://www.insee.fr/fr/statistiques/serie/010764101</v>
      </c>
      <c r="J61" t="str">
        <v>010764101</v>
      </c>
      <c r="K61" t="str">
        <v>Autres textiles</v>
      </c>
      <c r="L61" s="4">
        <v>2.9986962190352129E-2</v>
      </c>
      <c r="M61" s="4">
        <v>5.1930758988016024E-2</v>
      </c>
    </row>
    <row r="62" spans="1:42">
      <c r="A62" s="34" t="s">
        <v>87</v>
      </c>
      <c r="B62" s="32" t="s">
        <v>51</v>
      </c>
      <c r="C62" t="s">
        <v>119</v>
      </c>
      <c r="D62" s="4">
        <v>1.6891891891890332E-3</v>
      </c>
      <c r="E62" s="4">
        <v>1.1082693947144007E-2</v>
      </c>
      <c r="I62" t="str">
        <v>https://www.insee.fr/fr/statistiques/serie/010764116#Tableau</v>
      </c>
      <c r="J62" t="str">
        <v> 010764116</v>
      </c>
      <c r="K62" t="str">
        <v>Ensemble des produits du sciage</v>
      </c>
      <c r="L62" s="4">
        <v>2.6600541027953062E-2</v>
      </c>
      <c r="M62" s="4">
        <v>6.5014031805425532E-2</v>
      </c>
    </row>
    <row r="63" spans="1:42">
      <c r="A63" s="34" t="s">
        <v>88</v>
      </c>
      <c r="B63" s="32" t="s">
        <v>52</v>
      </c>
      <c r="C63" t="s">
        <v>120</v>
      </c>
      <c r="D63" s="4">
        <v>1.7813765182186359E-2</v>
      </c>
      <c r="E63" s="4">
        <v>1.3709677419354804E-2</v>
      </c>
      <c r="I63" t="str">
        <v>https://www.insee.fr/fr/statistiques/serie/001565195</v>
      </c>
      <c r="J63" t="str">
        <v>001565195</v>
      </c>
      <c r="K63" t="str">
        <v>Travail activités spécialisées</v>
      </c>
      <c r="L63" s="4">
        <v>2.1892393320964709E-2</v>
      </c>
      <c r="M63" s="4">
        <v>4.8743335872048599E-2</v>
      </c>
    </row>
    <row r="64" spans="1:42">
      <c r="A64" s="34" t="s">
        <v>280</v>
      </c>
      <c r="B64" s="187" t="s">
        <v>320</v>
      </c>
      <c r="C64" t="s">
        <v>121</v>
      </c>
      <c r="D64" s="4">
        <v>-0.12597741094700277</v>
      </c>
      <c r="E64" s="4">
        <v>-0.24981357196122311</v>
      </c>
      <c r="I64" t="str">
        <v>https://www.insee.fr/fr/statistiques/serie/010764180</v>
      </c>
      <c r="J64" t="str">
        <v>010764180</v>
      </c>
      <c r="K64" t="str">
        <v>Béton prêt à l'emploi</v>
      </c>
      <c r="L64" s="4">
        <v>2.1423106350420884E-2</v>
      </c>
      <c r="M64" s="4">
        <v>2.8505392912172578E-2</v>
      </c>
    </row>
    <row r="65" spans="1:13">
      <c r="A65" s="159" t="s">
        <v>281</v>
      </c>
      <c r="B65" s="187" t="s">
        <v>321</v>
      </c>
      <c r="C65" t="s">
        <v>263</v>
      </c>
      <c r="D65" s="4">
        <v>-0.33551769331585823</v>
      </c>
      <c r="E65" s="4">
        <v>5.9523809523811533E-3</v>
      </c>
      <c r="I65" t="str">
        <v>https://www.insee.fr/fr/statistiques/serie/010764176</v>
      </c>
      <c r="J65" t="str">
        <v>010764176</v>
      </c>
      <c r="K65" t="str">
        <v>Ciment, chaux et plâtre</v>
      </c>
      <c r="L65" s="4">
        <v>1.9741320626276426E-2</v>
      </c>
      <c r="M65" s="4">
        <v>3.345981372887219E-2</v>
      </c>
    </row>
    <row r="66" spans="1:13" ht="30">
      <c r="A66" s="34" t="s">
        <v>90</v>
      </c>
      <c r="B66" s="32" t="s">
        <v>55</v>
      </c>
      <c r="C66" t="s">
        <v>55</v>
      </c>
      <c r="D66" s="4">
        <v>-4.2378998190626294E-2</v>
      </c>
      <c r="E66" s="4">
        <v>-0.11250648078806358</v>
      </c>
      <c r="I66" t="str">
        <v>https://www.insee.fr/fr/statistiques/serie/001711943</v>
      </c>
      <c r="J66" t="str">
        <v>001711943</v>
      </c>
      <c r="K66" t="str">
        <v>Transports routiers</v>
      </c>
      <c r="L66" s="4">
        <v>1.7813765182186359E-2</v>
      </c>
      <c r="M66" s="4">
        <v>1.3709677419354804E-2</v>
      </c>
    </row>
    <row r="67" spans="1:13">
      <c r="A67" s="34" t="s">
        <v>282</v>
      </c>
      <c r="B67" s="32" t="s">
        <v>322</v>
      </c>
      <c r="C67" t="s">
        <v>122</v>
      </c>
      <c r="D67" s="4">
        <v>-1.0329562223315381E-2</v>
      </c>
      <c r="E67" s="4">
        <v>-7.5792374827744591E-2</v>
      </c>
      <c r="I67" t="str">
        <v>https://www.insee.fr/fr/statistiques/serie/001711009</v>
      </c>
      <c r="J67" t="str">
        <v>001711009</v>
      </c>
      <c r="K67" t="str">
        <v>Matériel</v>
      </c>
      <c r="L67" s="4">
        <v>1.6459253311922994E-2</v>
      </c>
      <c r="M67" s="4">
        <v>2.0556227327690468E-2</v>
      </c>
    </row>
    <row r="68" spans="1:13">
      <c r="A68" s="34" t="s">
        <v>284</v>
      </c>
      <c r="B68" s="187" t="s">
        <v>283</v>
      </c>
      <c r="C68" t="s">
        <v>123</v>
      </c>
      <c r="D68" s="4">
        <v>2.6600541027953062E-2</v>
      </c>
      <c r="E68" s="4">
        <v>6.5014031805425532E-2</v>
      </c>
      <c r="I68" t="str">
        <v>https://www.insee.fr/fr/statistiques/serie/010764301</v>
      </c>
      <c r="J68" t="str">
        <v>010764301</v>
      </c>
      <c r="K68" t="str">
        <v>Collecte, traitement et élimination des déchets ; récupération de matériaux</v>
      </c>
      <c r="L68" s="4">
        <v>1.418115279048493E-2</v>
      </c>
      <c r="M68" s="4">
        <v>3.0204460966542834E-2</v>
      </c>
    </row>
    <row r="69" spans="1:13">
      <c r="A69" s="34" t="s">
        <v>285</v>
      </c>
      <c r="B69" s="187" t="s">
        <v>323</v>
      </c>
      <c r="C69" t="s">
        <v>124</v>
      </c>
      <c r="D69" s="4">
        <v>2.1423106350420884E-2</v>
      </c>
      <c r="E69" s="4">
        <v>2.8505392912172578E-2</v>
      </c>
      <c r="I69" t="str">
        <v>https://www.insee.fr/fr/statistiques/serie/010764179</v>
      </c>
      <c r="J69" t="str">
        <v>010764179</v>
      </c>
      <c r="K69" t="str">
        <v>Éléments en béton pour la construction</v>
      </c>
      <c r="L69" s="4">
        <v>8.8719898605831293E-3</v>
      </c>
      <c r="M69" s="4">
        <v>-2.6894865525672329E-2</v>
      </c>
    </row>
    <row r="70" spans="1:13">
      <c r="A70" s="34" t="s">
        <v>286</v>
      </c>
      <c r="B70" s="187" t="s">
        <v>324</v>
      </c>
      <c r="C70" t="s">
        <v>125</v>
      </c>
      <c r="D70" s="4">
        <v>-1.2658227848101333E-2</v>
      </c>
      <c r="E70" s="4">
        <v>-5.4545454545454564E-2</v>
      </c>
      <c r="I70" t="str">
        <v>https://www.insee.fr/fr/statistiques/serie/010765500</v>
      </c>
      <c r="J70" t="str">
        <v>010765500</v>
      </c>
      <c r="K70" t="str">
        <v>Sables et granulats</v>
      </c>
      <c r="L70" s="4">
        <v>5.1391862955032508E-3</v>
      </c>
      <c r="M70" s="4">
        <v>-2.9736618521666314E-3</v>
      </c>
    </row>
    <row r="71" spans="1:13">
      <c r="A71" s="34" t="s">
        <v>287</v>
      </c>
      <c r="B71" s="196" t="s">
        <v>319</v>
      </c>
      <c r="C71" t="s">
        <v>126</v>
      </c>
      <c r="D71" s="4">
        <v>5.1391862955032508E-3</v>
      </c>
      <c r="E71" s="4">
        <v>-2.9736618521666314E-3</v>
      </c>
      <c r="I71" t="str">
        <v>https://www.insee.fr/fr/statistiques/serie/010763871</v>
      </c>
      <c r="J71" t="str">
        <v>010763871</v>
      </c>
      <c r="K71" t="str">
        <v>Produits de voierie en béton</v>
      </c>
      <c r="L71" s="4">
        <v>5.1181102362205522E-3</v>
      </c>
      <c r="M71" s="4">
        <v>5.5139818826310805E-3</v>
      </c>
    </row>
    <row r="72" spans="1:13">
      <c r="A72" s="34" t="s">
        <v>288</v>
      </c>
      <c r="B72" s="32" t="s">
        <v>325</v>
      </c>
      <c r="C72" t="s">
        <v>127</v>
      </c>
      <c r="D72" s="4">
        <v>-2.9864675688287434E-2</v>
      </c>
      <c r="E72" s="4">
        <v>-2.9864675688287434E-2</v>
      </c>
      <c r="I72" t="str">
        <v>https://www.insee.fr/fr/statistiques/serie/010763881</v>
      </c>
      <c r="J72" t="str">
        <v>010763881</v>
      </c>
      <c r="K72" t="str">
        <v>Produits sidérurgiques en acier non allié</v>
      </c>
      <c r="L72" s="4">
        <v>4.8205677557580096E-3</v>
      </c>
      <c r="M72" s="4">
        <v>-4.6263345195729499E-2</v>
      </c>
    </row>
    <row r="73" spans="1:13">
      <c r="A73" s="34" t="s">
        <v>289</v>
      </c>
      <c r="B73" s="32" t="s">
        <v>326</v>
      </c>
      <c r="C73" t="s">
        <v>128</v>
      </c>
      <c r="D73" s="4">
        <v>1.9741320626276426E-2</v>
      </c>
      <c r="E73" s="4">
        <v>3.345981372887219E-2</v>
      </c>
      <c r="I73" t="str">
        <v>https://www.insee.fr/fr/statistiques/serie/010764195</v>
      </c>
      <c r="J73" t="str">
        <v>010764195</v>
      </c>
      <c r="K73" t="str">
        <v>Travaux de fonderie de fonte</v>
      </c>
      <c r="L73" s="4">
        <v>3.1262211801486028E-3</v>
      </c>
      <c r="M73" s="4">
        <v>-2.3319082782742306E-3</v>
      </c>
    </row>
    <row r="74" spans="1:13">
      <c r="A74" s="34" t="s">
        <v>290</v>
      </c>
      <c r="B74" s="32" t="s">
        <v>327</v>
      </c>
      <c r="C74" t="s">
        <v>258</v>
      </c>
      <c r="D74" s="4">
        <v>-4.8284625158831029E-2</v>
      </c>
      <c r="E74" s="4">
        <v>3.1680440771349794E-2</v>
      </c>
      <c r="I74" t="str">
        <v>https://www.insee.fr/fr/statistiques/serie/010764306</v>
      </c>
      <c r="J74" t="str">
        <v>010764306</v>
      </c>
      <c r="K74" t="str">
        <v>Traitement et élimination des déchets non dangereux</v>
      </c>
      <c r="L74" s="4">
        <v>2.5380710659899108E-3</v>
      </c>
      <c r="M74" s="4">
        <v>2.5530073561228717E-2</v>
      </c>
    </row>
    <row r="75" spans="1:13">
      <c r="A75" s="34" t="s">
        <v>291</v>
      </c>
      <c r="B75" s="32" t="s">
        <v>328</v>
      </c>
      <c r="C75" t="s">
        <v>129</v>
      </c>
      <c r="D75" s="4">
        <v>-1.2672176308540006E-2</v>
      </c>
      <c r="E75" s="4">
        <v>-4.9840933191940828E-2</v>
      </c>
      <c r="I75" t="str">
        <v>https://www.insee.fr/fr/statistiques/serie/001711011</v>
      </c>
      <c r="J75" t="str">
        <v>001711011</v>
      </c>
      <c r="K75" t="str">
        <v>Frais divers</v>
      </c>
      <c r="L75" s="4">
        <v>1.6891891891890332E-3</v>
      </c>
      <c r="M75" s="4">
        <v>1.1082693947144007E-2</v>
      </c>
    </row>
    <row r="76" spans="1:13">
      <c r="A76" s="34" t="s">
        <v>292</v>
      </c>
      <c r="B76" s="32" t="s">
        <v>329</v>
      </c>
      <c r="C76" t="s">
        <v>130</v>
      </c>
      <c r="D76" s="4">
        <v>-0.22037914691943117</v>
      </c>
      <c r="E76" s="4">
        <v>-0.12188612099644125</v>
      </c>
      <c r="I76" t="str">
        <v>https://www.insee.fr/fr/statistiques/serie/010763930</v>
      </c>
      <c r="J76" t="str">
        <v>010763930</v>
      </c>
      <c r="K76" t="str">
        <v>Fils et câbles d'énergie</v>
      </c>
      <c r="L76" s="4">
        <v>1.5961691939345712E-3</v>
      </c>
      <c r="M76" s="4">
        <v>6.8539804171988239E-2</v>
      </c>
    </row>
    <row r="77" spans="1:13">
      <c r="A77" s="34" t="s">
        <v>293</v>
      </c>
      <c r="B77" s="32" t="s">
        <v>330</v>
      </c>
      <c r="C77" t="s">
        <v>131</v>
      </c>
      <c r="D77" s="4">
        <v>5.1181102362205522E-3</v>
      </c>
      <c r="E77" s="4">
        <v>5.5139818826310805E-3</v>
      </c>
      <c r="I77" t="str">
        <v>https://www.insee.fr/fr/statistiques/serie/010766292</v>
      </c>
      <c r="J77" t="str">
        <v>010766292</v>
      </c>
      <c r="K77" t="str">
        <v>Réseaux d’assainissement</v>
      </c>
      <c r="L77" s="4">
        <v>3.910833007432224E-4</v>
      </c>
      <c r="M77" s="4">
        <v>3.1372549019608176E-3</v>
      </c>
    </row>
    <row r="78" spans="1:13">
      <c r="A78" s="34" t="s">
        <v>294</v>
      </c>
      <c r="B78" s="32" t="s">
        <v>331</v>
      </c>
      <c r="C78" t="s">
        <v>132</v>
      </c>
      <c r="D78" s="4">
        <v>-1.0789814415192112E-2</v>
      </c>
      <c r="E78" s="4">
        <v>-1.1216566005176953E-2</v>
      </c>
      <c r="I78" t="str">
        <v>https://www.insee.fr/fr/statistiques/serie/010764228</v>
      </c>
      <c r="J78" t="str">
        <v>010764228</v>
      </c>
      <c r="K78" t="str">
        <v>Appareils d'éclairage électrique</v>
      </c>
      <c r="L78" s="4">
        <v>-6.5696855936180354E-3</v>
      </c>
      <c r="M78" s="4">
        <v>-1.5806601580660273E-2</v>
      </c>
    </row>
    <row r="79" spans="1:13">
      <c r="A79" s="34" t="s">
        <v>295</v>
      </c>
      <c r="B79" s="32" t="s">
        <v>332</v>
      </c>
      <c r="C79" t="s">
        <v>133</v>
      </c>
      <c r="D79" s="4">
        <v>3.1262211801486028E-3</v>
      </c>
      <c r="E79" s="4">
        <v>-2.3319082782742306E-3</v>
      </c>
      <c r="I79" t="str">
        <v>https://www.insee.fr/fr/statistiques/serie/010763845</v>
      </c>
      <c r="J79" t="str">
        <v>010763845</v>
      </c>
      <c r="K79" t="str">
        <v>Tubes, tuyaux en matière plastique</v>
      </c>
      <c r="L79" s="4">
        <v>-1.0329562223315381E-2</v>
      </c>
      <c r="M79" s="4">
        <v>-7.5792374827744591E-2</v>
      </c>
    </row>
    <row r="80" spans="1:13">
      <c r="A80" s="34" t="s">
        <v>296</v>
      </c>
      <c r="B80" s="32" t="s">
        <v>333</v>
      </c>
      <c r="C80" t="s">
        <v>134</v>
      </c>
      <c r="D80" s="4">
        <v>-1.145311381531855E-2</v>
      </c>
      <c r="E80" s="4">
        <v>-2.888086642599319E-3</v>
      </c>
      <c r="I80" t="str">
        <v>https://www.insee.fr/fr/statistiques/serie/010764181</v>
      </c>
      <c r="J80" t="str">
        <v>010764181</v>
      </c>
      <c r="K80" t="str">
        <v>Mortiers et bétons secs</v>
      </c>
      <c r="L80" s="4">
        <v>-1.0789814415192112E-2</v>
      </c>
      <c r="M80" s="4">
        <v>-1.1216566005176953E-2</v>
      </c>
    </row>
    <row r="81" spans="1:13">
      <c r="A81" s="34" t="s">
        <v>297</v>
      </c>
      <c r="B81" s="32" t="s">
        <v>334</v>
      </c>
      <c r="C81" t="s">
        <v>266</v>
      </c>
      <c r="D81" s="4">
        <v>3.910833007432224E-4</v>
      </c>
      <c r="E81" s="4">
        <v>3.1372549019608176E-3</v>
      </c>
      <c r="I81" t="str">
        <v>https://www.insee.fr/fr/statistiques/serie/010764172</v>
      </c>
      <c r="J81" t="str">
        <v>010764172</v>
      </c>
      <c r="K81" t="str">
        <v>Tuiles, briques et produits de construction en terre cuite</v>
      </c>
      <c r="L81" s="4">
        <v>-1.145311381531855E-2</v>
      </c>
      <c r="M81" s="4">
        <v>-2.888086642599319E-3</v>
      </c>
    </row>
    <row r="82" spans="1:13">
      <c r="A82" s="34" t="s">
        <v>298</v>
      </c>
      <c r="B82" s="32" t="s">
        <v>335</v>
      </c>
      <c r="C82" t="s">
        <v>261</v>
      </c>
      <c r="D82" s="4">
        <v>2.9986962190352129E-2</v>
      </c>
      <c r="E82" s="4">
        <v>5.1930758988016024E-2</v>
      </c>
      <c r="I82" t="str">
        <v>https://www.insee.fr/fr/statistiques/serie/010764187</v>
      </c>
      <c r="J82" t="str">
        <v>010764187</v>
      </c>
      <c r="K82" t="str">
        <v>Tubes, tuyaux, profilés creux et accessoires correspondants en acier</v>
      </c>
      <c r="L82" s="4">
        <v>-1.2315270935960521E-2</v>
      </c>
      <c r="M82" s="4">
        <v>-4.7505938242280221E-2</v>
      </c>
    </row>
    <row r="83" spans="1:13">
      <c r="A83" s="34" t="s">
        <v>299</v>
      </c>
      <c r="B83" s="32" t="s">
        <v>336</v>
      </c>
      <c r="C83" t="s">
        <v>135</v>
      </c>
      <c r="D83" s="4">
        <v>-0.10911016949152552</v>
      </c>
      <c r="E83" s="4">
        <v>-9.4725511302475862E-2</v>
      </c>
      <c r="I83" t="str">
        <v>https://www.insee.fr/fr/statistiques/serie/010766236</v>
      </c>
      <c r="J83" t="str">
        <v>010766236</v>
      </c>
      <c r="K83" t="str">
        <v>Barres crénelées ou nervurées pour béton armé</v>
      </c>
      <c r="L83" s="4">
        <v>-1.2658227848101333E-2</v>
      </c>
      <c r="M83" s="4">
        <v>-5.4545454545454564E-2</v>
      </c>
    </row>
    <row r="84" spans="1:13">
      <c r="A84" s="34" t="s">
        <v>300</v>
      </c>
      <c r="B84" s="32" t="s">
        <v>337</v>
      </c>
      <c r="C84" t="s">
        <v>136</v>
      </c>
      <c r="D84" s="4">
        <v>-1.2315270935960521E-2</v>
      </c>
      <c r="E84" s="4">
        <v>-4.7505938242280221E-2</v>
      </c>
      <c r="I84" t="str">
        <v>https://www.insee.fr/fr/statistiques/serie/010765837</v>
      </c>
      <c r="J84" t="str">
        <v>010765837</v>
      </c>
      <c r="K84" t="str">
        <v>Acier pour la construction</v>
      </c>
      <c r="L84" s="4">
        <v>-1.2672176308540006E-2</v>
      </c>
      <c r="M84" s="4">
        <v>-4.9840933191940828E-2</v>
      </c>
    </row>
    <row r="85" spans="1:13">
      <c r="A85" s="34" t="s">
        <v>301</v>
      </c>
      <c r="B85" s="32" t="s">
        <v>338</v>
      </c>
      <c r="C85" t="s">
        <v>137</v>
      </c>
      <c r="D85" s="4">
        <v>8.8719898605831293E-3</v>
      </c>
      <c r="E85" s="4">
        <v>-2.6894865525672329E-2</v>
      </c>
      <c r="I85" t="str">
        <v>https://www.insee.fr/fr/statistiques/serie/010777519</v>
      </c>
      <c r="J85" t="str">
        <v>010777519</v>
      </c>
      <c r="K85" t="str">
        <v>GNR pour les Travaux Publics</v>
      </c>
      <c r="L85" s="4">
        <v>-1.7268947873361196E-2</v>
      </c>
      <c r="M85" s="4">
        <v>2.7072192513368787E-2</v>
      </c>
    </row>
    <row r="86" spans="1:13">
      <c r="A86" s="34" t="s">
        <v>302</v>
      </c>
      <c r="B86" s="32" t="s">
        <v>339</v>
      </c>
      <c r="C86" t="s">
        <v>138</v>
      </c>
      <c r="D86" s="4">
        <v>1.5961691939345712E-3</v>
      </c>
      <c r="E86" s="4">
        <v>6.8539804171988239E-2</v>
      </c>
      <c r="I86" t="str">
        <v>https://www.insee.fr/fr/statistiques/serie/001764283</v>
      </c>
      <c r="J86" t="str">
        <v>001764283</v>
      </c>
      <c r="K86" t="str">
        <v>Gazole</v>
      </c>
      <c r="L86" s="4">
        <v>-2.3978982565082463E-2</v>
      </c>
      <c r="M86" s="4">
        <v>-6.3780068728522377E-2</v>
      </c>
    </row>
    <row r="87" spans="1:13">
      <c r="A87" s="34" t="s">
        <v>303</v>
      </c>
      <c r="B87" s="32" t="s">
        <v>340</v>
      </c>
      <c r="C87" t="s">
        <v>139</v>
      </c>
      <c r="D87" s="4">
        <v>9.8332620778110114E-2</v>
      </c>
      <c r="E87" s="4">
        <v>9.505541346973545E-2</v>
      </c>
      <c r="I87" t="str">
        <v>https://www.insee.fr/fr/statistiques/serie/010763825</v>
      </c>
      <c r="J87" t="str">
        <v>010763825</v>
      </c>
      <c r="K87" t="str">
        <v>Peintures Industries</v>
      </c>
      <c r="L87" s="4">
        <v>-2.8910303928836201E-2</v>
      </c>
      <c r="M87" s="4">
        <v>-5.6535830032409029E-2</v>
      </c>
    </row>
    <row r="88" spans="1:13">
      <c r="A88" s="34" t="s">
        <v>304</v>
      </c>
      <c r="B88" s="32" t="s">
        <v>341</v>
      </c>
      <c r="C88" t="s">
        <v>140</v>
      </c>
      <c r="D88" s="4">
        <v>0.14835164835164849</v>
      </c>
      <c r="E88" s="4">
        <v>0.13729593972373411</v>
      </c>
      <c r="I88" t="str">
        <v>https://www.insee.fr/fr/statistiques/serie/010764160</v>
      </c>
      <c r="J88" t="str">
        <v>010764160</v>
      </c>
      <c r="K88" t="str">
        <v>Plaques, feuilles, tubes et profilés en matières plastiques</v>
      </c>
      <c r="L88" s="4">
        <v>-2.9864675688287434E-2</v>
      </c>
      <c r="M88" s="4">
        <v>-2.9864675688287434E-2</v>
      </c>
    </row>
    <row r="89" spans="1:13">
      <c r="A89" s="34" t="s">
        <v>318</v>
      </c>
      <c r="B89" s="32" t="s">
        <v>342</v>
      </c>
      <c r="C89" t="s">
        <v>141</v>
      </c>
      <c r="D89" s="4">
        <v>-6.5696855936180354E-3</v>
      </c>
      <c r="E89" s="4">
        <v>-1.5806601580660273E-2</v>
      </c>
      <c r="I89" t="str">
        <v>https://www.fntp.fr/sites/default/files/content/indice_gazole_htt.pdf</v>
      </c>
      <c r="J89" t="str">
        <v>Gazole routier HTT</v>
      </c>
      <c r="K89" t="str">
        <v>Gazole routier HTT</v>
      </c>
      <c r="L89" s="4">
        <v>-4.2378998190626294E-2</v>
      </c>
      <c r="M89" s="4">
        <v>-0.11250648078806358</v>
      </c>
    </row>
    <row r="90" spans="1:13">
      <c r="A90" s="34" t="s">
        <v>305</v>
      </c>
      <c r="B90" s="32" t="s">
        <v>343</v>
      </c>
      <c r="C90" t="s">
        <v>142</v>
      </c>
      <c r="D90" s="4">
        <v>-5.4888507718696355E-2</v>
      </c>
      <c r="E90" s="4">
        <v>-0.17597208374875373</v>
      </c>
      <c r="I90" t="str">
        <v>https://www.insee.fr/fr/statistiques/serie/010764149</v>
      </c>
      <c r="J90" t="str">
        <v>010764149</v>
      </c>
      <c r="K90" t="str">
        <v>Autres produits chimiques</v>
      </c>
      <c r="L90" s="4">
        <v>-4.8284625158831029E-2</v>
      </c>
      <c r="M90" s="4">
        <v>3.1680440771349794E-2</v>
      </c>
    </row>
    <row r="91" spans="1:13">
      <c r="A91" s="34" t="s">
        <v>306</v>
      </c>
      <c r="B91" s="32" t="s">
        <v>344</v>
      </c>
      <c r="C91" t="s">
        <v>143</v>
      </c>
      <c r="D91" s="4">
        <v>-2.8910303928836201E-2</v>
      </c>
      <c r="E91" s="4">
        <v>-5.6535830032409029E-2</v>
      </c>
      <c r="I91" t="str">
        <v>https://www.insee.fr/fr/statistiques/serie/010764834</v>
      </c>
      <c r="J91" t="str">
        <v>010764834</v>
      </c>
      <c r="K91" t="str">
        <v>Câbles de fibres optiques</v>
      </c>
      <c r="L91" s="4">
        <v>-5.4888507718696355E-2</v>
      </c>
      <c r="M91" s="4">
        <v>-0.17597208374875373</v>
      </c>
    </row>
    <row r="92" spans="1:13">
      <c r="A92" s="34" t="s">
        <v>307</v>
      </c>
      <c r="B92" s="32" t="s">
        <v>345</v>
      </c>
      <c r="C92" t="s">
        <v>144</v>
      </c>
      <c r="D92" s="4">
        <v>4.8205677557580096E-3</v>
      </c>
      <c r="E92" s="4">
        <v>-4.6263345195729499E-2</v>
      </c>
      <c r="I92" t="str">
        <v>https://www.insee.fr/fr/statistiques/serie/010764143</v>
      </c>
      <c r="J92" t="str">
        <v>010764143</v>
      </c>
      <c r="K92" t="str">
        <v>Matières plastiques sous formes primaires</v>
      </c>
      <c r="L92" s="4">
        <v>-0.10911016949152552</v>
      </c>
      <c r="M92" s="4">
        <v>-9.4725511302475862E-2</v>
      </c>
    </row>
    <row r="93" spans="1:13">
      <c r="A93" s="34" t="s">
        <v>308</v>
      </c>
      <c r="B93" s="32" t="s">
        <v>346</v>
      </c>
      <c r="C93" t="s">
        <v>145</v>
      </c>
      <c r="D93" s="4">
        <v>3.6002482929857083E-2</v>
      </c>
      <c r="E93" s="4">
        <v>-5.546123372948486E-2</v>
      </c>
      <c r="I93" t="str">
        <v>https://www.insee.fr/fr/statistiques/serie/010764291</v>
      </c>
      <c r="J93" t="str">
        <v>010764291</v>
      </c>
      <c r="K93" t="str">
        <v>Électricité vendue aux entreprises consommatrices finales</v>
      </c>
      <c r="L93" s="4">
        <v>-0.12597741094700277</v>
      </c>
      <c r="M93" s="4">
        <v>-0.24981357196122311</v>
      </c>
    </row>
    <row r="94" spans="1:13">
      <c r="A94" s="34" t="s">
        <v>309</v>
      </c>
      <c r="B94" s="32" t="s">
        <v>347</v>
      </c>
      <c r="C94" t="s">
        <v>148</v>
      </c>
      <c r="D94" s="4">
        <v>2.5380710659899108E-3</v>
      </c>
      <c r="E94" s="4">
        <v>2.5530073561228717E-2</v>
      </c>
      <c r="I94" t="str">
        <v>https://www.insee.fr/fr/statistiques/serie/010764136</v>
      </c>
      <c r="J94" t="str">
        <v>010764136</v>
      </c>
      <c r="K94" t="str">
        <v>Bitume</v>
      </c>
      <c r="L94" s="4">
        <v>-0.22037914691943117</v>
      </c>
      <c r="M94" s="4">
        <v>-0.12188612099644125</v>
      </c>
    </row>
    <row r="95" spans="1:13">
      <c r="A95" s="34" t="s">
        <v>310</v>
      </c>
      <c r="B95" s="32" t="s">
        <v>348</v>
      </c>
      <c r="C95" t="s">
        <v>149</v>
      </c>
      <c r="D95" s="4">
        <v>1.418115279048493E-2</v>
      </c>
      <c r="E95" s="4">
        <v>3.0204460966542834E-2</v>
      </c>
      <c r="I95" t="str">
        <v>https://www.insee.fr/fr/statistiques/serie/010764297</v>
      </c>
      <c r="J95" t="str">
        <v>010764297</v>
      </c>
      <c r="K95" t="str">
        <v>Gaz naturel</v>
      </c>
      <c r="L95" s="4">
        <v>-0.33551769331585823</v>
      </c>
      <c r="M95" s="4">
        <v>5.9523809523811533E-3</v>
      </c>
    </row>
    <row r="96" spans="1:13">
      <c r="A96" s="3"/>
      <c r="L96" s="4"/>
      <c r="M96" s="4"/>
    </row>
    <row r="97" spans="1:42">
      <c r="A97" s="3"/>
      <c r="L97" s="4"/>
      <c r="M97" s="4"/>
    </row>
    <row r="98" spans="1:42">
      <c r="A98" s="3"/>
    </row>
    <row r="99" spans="1:42">
      <c r="A99" s="3"/>
    </row>
    <row r="100" spans="1:42">
      <c r="A100" s="3"/>
      <c r="C100" t="str">
        <f>'A MODIFIER'!E12</f>
        <v>*/2025</v>
      </c>
      <c r="D100" s="4">
        <f>('CUMULS INDICES'!B69/'CUMULS INDICES'!B85)-1</f>
        <v>1.6459253311922994E-2</v>
      </c>
      <c r="E100" s="4">
        <f>('CUMULS INDICES'!C69/'CUMULS INDICES'!C85)-1</f>
        <v>3.2774945375090958E-2</v>
      </c>
      <c r="F100" s="4">
        <f>('CUMULS INDICES'!D69/'CUMULS INDICES'!D85)-1</f>
        <v>2.1892393320964709E-2</v>
      </c>
      <c r="G100" s="4">
        <f>('CUMULS INDICES'!E69/'CUMULS INDICES'!E85)-1</f>
        <v>-1.7268947873361196E-2</v>
      </c>
      <c r="H100" s="4">
        <f>('CUMULS INDICES'!F69/'CUMULS INDICES'!F85)-1</f>
        <v>-2.3978982565082463E-2</v>
      </c>
      <c r="I100" s="4">
        <f>('CUMULS INDICES'!G69/'CUMULS INDICES'!G85)-1</f>
        <v>1.6891891891890332E-3</v>
      </c>
      <c r="J100" s="4">
        <f>('CUMULS INDICES'!H69/'CUMULS INDICES'!H85)-1</f>
        <v>1.7813765182186359E-2</v>
      </c>
      <c r="K100" s="4">
        <f>('CUMULS INDICES'!I69/'CUMULS INDICES'!I85)-1</f>
        <v>-0.12597741094700277</v>
      </c>
      <c r="L100" s="4">
        <f>('CUMULS INDICES'!J69/'CUMULS INDICES'!J85)-1</f>
        <v>-0.33551769331585823</v>
      </c>
      <c r="M100" s="4">
        <f>('CUMULS INDICES'!K69/'CUMULS INDICES'!K85)-1</f>
        <v>-4.2378998190626294E-2</v>
      </c>
      <c r="N100" s="4">
        <f>('CUMULS INDICES'!L69/'CUMULS INDICES'!L85)-1</f>
        <v>-1.0329562223315381E-2</v>
      </c>
      <c r="O100" s="4">
        <f>('CUMULS INDICES'!M69/'CUMULS INDICES'!M85)-1</f>
        <v>2.6600541027953062E-2</v>
      </c>
      <c r="P100" s="4">
        <f>('CUMULS INDICES'!N69/'CUMULS INDICES'!N85)-1</f>
        <v>2.1423106350420884E-2</v>
      </c>
      <c r="Q100" s="4">
        <f>('CUMULS INDICES'!O69/'CUMULS INDICES'!O85)-1</f>
        <v>-1.2658227848101333E-2</v>
      </c>
      <c r="R100" s="4">
        <f>('CUMULS INDICES'!P69/'CUMULS INDICES'!P85)-1</f>
        <v>5.1391862955032508E-3</v>
      </c>
      <c r="S100" s="4">
        <f>('CUMULS INDICES'!Q69/'CUMULS INDICES'!Q85)-1</f>
        <v>-2.9864675688287434E-2</v>
      </c>
      <c r="T100" s="4">
        <f>('CUMULS INDICES'!R69/'CUMULS INDICES'!R85)-1</f>
        <v>1.9741320626276426E-2</v>
      </c>
      <c r="U100" s="4">
        <f>('CUMULS INDICES'!S69/'CUMULS INDICES'!S85)-1</f>
        <v>-4.8284625158831029E-2</v>
      </c>
      <c r="V100" s="4">
        <f>('CUMULS INDICES'!T69/'CUMULS INDICES'!T85)-1</f>
        <v>-1.2672176308540006E-2</v>
      </c>
      <c r="W100" s="4">
        <f>('CUMULS INDICES'!U69/'CUMULS INDICES'!U85)-1</f>
        <v>-0.22037914691943117</v>
      </c>
      <c r="X100" s="4">
        <f>('CUMULS INDICES'!V69/'CUMULS INDICES'!V85)-1</f>
        <v>5.1181102362205522E-3</v>
      </c>
      <c r="Y100" s="4">
        <f>('CUMULS INDICES'!W69/'CUMULS INDICES'!W85)-1</f>
        <v>-1.0789814415192112E-2</v>
      </c>
      <c r="Z100" s="4">
        <f>('CUMULS INDICES'!X69/'CUMULS INDICES'!X85)-1</f>
        <v>3.1262211801486028E-3</v>
      </c>
      <c r="AA100" s="4">
        <f>('CUMULS INDICES'!Y69/'CUMULS INDICES'!Y85)-1</f>
        <v>-1.145311381531855E-2</v>
      </c>
      <c r="AB100" s="4">
        <f>('CUMULS INDICES'!Z69/'CUMULS INDICES'!Z85)-1</f>
        <v>3.910833007432224E-4</v>
      </c>
      <c r="AC100" s="4">
        <f>('CUMULS INDICES'!AA69/'CUMULS INDICES'!AA85)-1</f>
        <v>2.9986962190352129E-2</v>
      </c>
      <c r="AD100" s="4">
        <f>('CUMULS INDICES'!AB69/'CUMULS INDICES'!AB85)-1</f>
        <v>-0.10911016949152552</v>
      </c>
      <c r="AE100" s="4">
        <f>('CUMULS INDICES'!AC69/'CUMULS INDICES'!AC85)-1</f>
        <v>-1.2315270935960521E-2</v>
      </c>
      <c r="AF100" s="4">
        <f>('CUMULS INDICES'!AD69/'CUMULS INDICES'!AD85)-1</f>
        <v>8.8719898605831293E-3</v>
      </c>
      <c r="AG100" s="4">
        <f>('CUMULS INDICES'!AE69/'CUMULS INDICES'!AE85)-1</f>
        <v>1.5961691939345712E-3</v>
      </c>
      <c r="AH100" s="4">
        <f>('CUMULS INDICES'!AF69/'CUMULS INDICES'!AF85)-1</f>
        <v>9.8332620778110114E-2</v>
      </c>
      <c r="AI100" s="4">
        <f>('CUMULS INDICES'!AG69/'CUMULS INDICES'!AG85)-1</f>
        <v>0.14835164835164849</v>
      </c>
      <c r="AJ100" s="4">
        <f>('CUMULS INDICES'!AH69/'CUMULS INDICES'!AH85)-1</f>
        <v>-6.5696855936180354E-3</v>
      </c>
      <c r="AK100" s="4">
        <f>('CUMULS INDICES'!AI69/'CUMULS INDICES'!AI85)-1</f>
        <v>-5.4888507718696355E-2</v>
      </c>
      <c r="AL100" s="4">
        <f>('CUMULS INDICES'!AJ69/'CUMULS INDICES'!AJ85)-1</f>
        <v>-2.8910303928836201E-2</v>
      </c>
      <c r="AM100" s="4">
        <f>('CUMULS INDICES'!AK69/'CUMULS INDICES'!AK85)-1</f>
        <v>4.8205677557580096E-3</v>
      </c>
      <c r="AN100" s="4">
        <f>('CUMULS INDICES'!AL69/'CUMULS INDICES'!AL85)-1</f>
        <v>3.6002482929857083E-2</v>
      </c>
      <c r="AO100" s="4">
        <f>('CUMULS INDICES'!AM69/'CUMULS INDICES'!AM85)-1</f>
        <v>2.5380710659899108E-3</v>
      </c>
      <c r="AP100" s="4">
        <f>('CUMULS INDICES'!AN69/'CUMULS INDICES'!AN85)-1</f>
        <v>1.418115279048493E-2</v>
      </c>
    </row>
    <row r="101" spans="1:42">
      <c r="A101" s="3"/>
      <c r="C101" t="str">
        <f>'A MODIFIER'!E11</f>
        <v>*/2024</v>
      </c>
      <c r="D101" s="4">
        <f>('CUMULS INDICES'!B69/'CUMULS INDICES'!B101)-1</f>
        <v>2.0556227327690468E-2</v>
      </c>
      <c r="E101" s="4">
        <f>('CUMULS INDICES'!C69/'CUMULS INDICES'!C101)-1</f>
        <v>6.9381598793363697E-2</v>
      </c>
      <c r="F101" s="4">
        <f>('CUMULS INDICES'!D69/'CUMULS INDICES'!D101)-1</f>
        <v>4.8743335872048599E-2</v>
      </c>
      <c r="G101" s="4">
        <f>('CUMULS INDICES'!E69/'CUMULS INDICES'!E101)-1</f>
        <v>2.7072192513368787E-2</v>
      </c>
      <c r="H101" s="4">
        <f>('CUMULS INDICES'!F69/'CUMULS INDICES'!F101)-1</f>
        <v>-6.3780068728522377E-2</v>
      </c>
      <c r="I101" s="4">
        <f>('CUMULS INDICES'!G69/'CUMULS INDICES'!G101)-1</f>
        <v>1.1082693947144007E-2</v>
      </c>
      <c r="J101" s="4">
        <f>('CUMULS INDICES'!H69/'CUMULS INDICES'!H101)-1</f>
        <v>1.3709677419354804E-2</v>
      </c>
      <c r="K101" s="4">
        <f>('CUMULS INDICES'!I69/'CUMULS INDICES'!I101)-1</f>
        <v>-0.24981357196122311</v>
      </c>
      <c r="L101" s="4">
        <f>('CUMULS INDICES'!J69/'CUMULS INDICES'!J101)-1</f>
        <v>5.9523809523811533E-3</v>
      </c>
      <c r="M101" s="4">
        <f>('CUMULS INDICES'!K69/'CUMULS INDICES'!K101)-1</f>
        <v>-0.11250648078806358</v>
      </c>
      <c r="N101" s="4">
        <f>('CUMULS INDICES'!L69/'CUMULS INDICES'!L101)-1</f>
        <v>-7.5792374827744591E-2</v>
      </c>
      <c r="O101" s="4">
        <f>('CUMULS INDICES'!M69/'CUMULS INDICES'!M101)-1</f>
        <v>6.5014031805425532E-2</v>
      </c>
      <c r="P101" s="4">
        <f>('CUMULS INDICES'!N69/'CUMULS INDICES'!N101)-1</f>
        <v>2.8505392912172578E-2</v>
      </c>
      <c r="Q101" s="4">
        <f>('CUMULS INDICES'!O69/'CUMULS INDICES'!O101)-1</f>
        <v>-5.4545454545454564E-2</v>
      </c>
      <c r="R101" s="4">
        <f>('CUMULS INDICES'!P69/'CUMULS INDICES'!P101)-1</f>
        <v>-2.9736618521666314E-3</v>
      </c>
      <c r="S101" s="4">
        <f>('CUMULS INDICES'!Q69/'CUMULS INDICES'!Q101)-1</f>
        <v>-2.9864675688287434E-2</v>
      </c>
      <c r="T101" s="4">
        <f>('CUMULS INDICES'!R69/'CUMULS INDICES'!R101)-1</f>
        <v>3.345981372887219E-2</v>
      </c>
      <c r="U101" s="4">
        <f>('CUMULS INDICES'!S69/'CUMULS INDICES'!S101)-1</f>
        <v>3.1680440771349794E-2</v>
      </c>
      <c r="V101" s="4">
        <f>('CUMULS INDICES'!T69/'CUMULS INDICES'!T101)-1</f>
        <v>-4.9840933191940828E-2</v>
      </c>
      <c r="W101" s="4">
        <f>('CUMULS INDICES'!U69/'CUMULS INDICES'!U101)-1</f>
        <v>-0.12188612099644125</v>
      </c>
      <c r="X101" s="4">
        <f>('CUMULS INDICES'!V69/'CUMULS INDICES'!V101)-1</f>
        <v>5.5139818826310805E-3</v>
      </c>
      <c r="Y101" s="4">
        <f>('CUMULS INDICES'!W69/'CUMULS INDICES'!W101)-1</f>
        <v>-1.1216566005176953E-2</v>
      </c>
      <c r="Z101" s="4">
        <f>('CUMULS INDICES'!X69/'CUMULS INDICES'!X101)-1</f>
        <v>-2.3319082782742306E-3</v>
      </c>
      <c r="AA101" s="4">
        <f>('CUMULS INDICES'!Y69/'CUMULS INDICES'!Y101)-1</f>
        <v>-2.888086642599319E-3</v>
      </c>
      <c r="AB101" s="4">
        <f>('CUMULS INDICES'!Z69/'CUMULS INDICES'!Z101)-1</f>
        <v>3.1372549019608176E-3</v>
      </c>
      <c r="AC101" s="4">
        <f>('CUMULS INDICES'!AA69/'CUMULS INDICES'!AA101)-1</f>
        <v>5.1930758988016024E-2</v>
      </c>
      <c r="AD101" s="4">
        <f>('CUMULS INDICES'!AB69/'CUMULS INDICES'!AB101)-1</f>
        <v>-9.4725511302475862E-2</v>
      </c>
      <c r="AE101" s="4">
        <f>('CUMULS INDICES'!AC69/'CUMULS INDICES'!AC101)-1</f>
        <v>-4.7505938242280221E-2</v>
      </c>
      <c r="AF101" s="4">
        <f>('CUMULS INDICES'!AD69/'CUMULS INDICES'!AD101)-1</f>
        <v>-2.6894865525672329E-2</v>
      </c>
      <c r="AG101" s="4">
        <f>('CUMULS INDICES'!AE69/'CUMULS INDICES'!AE101)-1</f>
        <v>6.8539804171988239E-2</v>
      </c>
      <c r="AH101" s="4">
        <f>('CUMULS INDICES'!AF69/'CUMULS INDICES'!AF101)-1</f>
        <v>9.505541346973545E-2</v>
      </c>
      <c r="AI101" s="4">
        <f>('CUMULS INDICES'!AG69/'CUMULS INDICES'!AG101)-1</f>
        <v>0.13729593972373411</v>
      </c>
      <c r="AJ101" s="4">
        <f>('CUMULS INDICES'!AH69/'CUMULS INDICES'!AH101)-1</f>
        <v>-1.5806601580660273E-2</v>
      </c>
      <c r="AK101" s="4">
        <f>('CUMULS INDICES'!AI69/'CUMULS INDICES'!AI101)-1</f>
        <v>-0.17597208374875373</v>
      </c>
      <c r="AL101" s="4">
        <f>('CUMULS INDICES'!AJ69/'CUMULS INDICES'!AJ101)-1</f>
        <v>-5.6535830032409029E-2</v>
      </c>
      <c r="AM101" s="4">
        <f>('CUMULS INDICES'!AK69/'CUMULS INDICES'!AK101)-1</f>
        <v>-4.6263345195729499E-2</v>
      </c>
      <c r="AN101" s="4">
        <f>('CUMULS INDICES'!AL69/'CUMULS INDICES'!AL101)-1</f>
        <v>-5.546123372948486E-2</v>
      </c>
      <c r="AO101" s="4">
        <f>('CUMULS INDICES'!AM69/'CUMULS INDICES'!AM101)-1</f>
        <v>2.5530073561228717E-2</v>
      </c>
      <c r="AP101" s="4">
        <f>('CUMULS INDICES'!AN69/'CUMULS INDICES'!AN101)-1</f>
        <v>3.0204460966542834E-2</v>
      </c>
    </row>
    <row r="102" spans="1:42">
      <c r="A102" s="3"/>
    </row>
    <row r="105" spans="1:42">
      <c r="A105" s="245" t="s">
        <v>248</v>
      </c>
      <c r="B105" s="246"/>
      <c r="C105" s="246"/>
      <c r="D105" s="246"/>
      <c r="E105" s="246"/>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-2.6336581511720025E-3</v>
      </c>
      <c r="E109" s="4">
        <v>1.8494055482165539E-3</v>
      </c>
      <c r="I109" t="str" cm="1">
        <f t="array" ref="I109:M147">_xlfn._xlws.SORT(A109:E147,4,-1, FALSE)</f>
        <v>https://www.insee.fr/fr/statistiques/serie/010764291</v>
      </c>
      <c r="J109" t="str">
        <v>010764291</v>
      </c>
      <c r="K109" t="str">
        <v>Électricité vendue aux entreprises consommatrices finales</v>
      </c>
      <c r="L109" s="4">
        <v>0.31659324522760635</v>
      </c>
      <c r="M109" s="4">
        <v>0.11775542015020557</v>
      </c>
    </row>
    <row r="110" spans="1:42">
      <c r="A110" s="37" t="s">
        <v>356</v>
      </c>
      <c r="B110">
        <v>8682743</v>
      </c>
      <c r="C110" t="s">
        <v>116</v>
      </c>
      <c r="D110" s="4">
        <v>9.9715099715098621E-3</v>
      </c>
      <c r="E110" s="4">
        <v>1.877256317689513E-2</v>
      </c>
      <c r="I110" t="str">
        <v>https://www.insee.fr/fr/statistiques/serie/010764224</v>
      </c>
      <c r="J110" t="str">
        <v>010764224</v>
      </c>
      <c r="K110" t="str">
        <v>Matériel de distribution et de commande électrique</v>
      </c>
      <c r="L110" s="4">
        <v>5.3840063341251021E-2</v>
      </c>
      <c r="M110" s="4">
        <v>6.9102898749828334E-2</v>
      </c>
    </row>
    <row r="111" spans="1:42">
      <c r="A111" s="34" t="s">
        <v>85</v>
      </c>
      <c r="B111" s="32" t="s">
        <v>49</v>
      </c>
      <c r="C111" t="s">
        <v>117</v>
      </c>
      <c r="D111" s="4">
        <v>5.8479532163744352E-3</v>
      </c>
      <c r="E111" s="4">
        <v>1.09296328134596E-2</v>
      </c>
      <c r="I111" t="str">
        <v>https://www.insee.fr/fr/statistiques/serie/010765839</v>
      </c>
      <c r="J111" t="str">
        <v>010765839</v>
      </c>
      <c r="K111" t="str">
        <v>Tôles quarto et autres produits plats en aciers non alliés de qualité</v>
      </c>
      <c r="L111" s="4">
        <v>4.1141897565071472E-2</v>
      </c>
      <c r="M111" s="4">
        <v>-9.9776013031971367E-3</v>
      </c>
    </row>
    <row r="112" spans="1:42">
      <c r="A112" s="33" t="s">
        <v>279</v>
      </c>
      <c r="B112" s="32" t="s">
        <v>317</v>
      </c>
      <c r="C112" t="s">
        <v>316</v>
      </c>
      <c r="D112" s="4">
        <v>2.3967130792056368E-2</v>
      </c>
      <c r="E112" s="4">
        <v>2.9609846725499267E-2</v>
      </c>
      <c r="I112" t="str">
        <v>https://www.insee.fr/fr/statistiques/serie/010764223</v>
      </c>
      <c r="J112" t="str">
        <v>010764223</v>
      </c>
      <c r="K112" t="str">
        <v>Moteurs, génératrices, transfo. électr., matér. distrib., cmde électr.</v>
      </c>
      <c r="L112" s="4">
        <v>3.6814835014998826E-2</v>
      </c>
      <c r="M112" s="4">
        <v>4.5639087218255714E-2</v>
      </c>
    </row>
    <row r="113" spans="1:13">
      <c r="A113" s="34" t="s">
        <v>86</v>
      </c>
      <c r="B113" s="32" t="s">
        <v>50</v>
      </c>
      <c r="C113" t="s">
        <v>118</v>
      </c>
      <c r="D113" s="4">
        <v>6.8515931617108006E-3</v>
      </c>
      <c r="E113" s="4">
        <v>1.9929342957115459E-2</v>
      </c>
      <c r="I113" t="str">
        <v>https://www.insee.fr/fr/statistiques/serie/010764149</v>
      </c>
      <c r="J113" t="str">
        <v>010764149</v>
      </c>
      <c r="K113" t="str">
        <v>Autres produits chimiques</v>
      </c>
      <c r="L113" s="4">
        <v>3.1799938252547122E-2</v>
      </c>
      <c r="M113" s="4">
        <v>-1.5557217651458677E-2</v>
      </c>
    </row>
    <row r="114" spans="1:13">
      <c r="A114" s="34" t="s">
        <v>87</v>
      </c>
      <c r="B114" s="32" t="s">
        <v>51</v>
      </c>
      <c r="C114" t="s">
        <v>119</v>
      </c>
      <c r="D114" s="4">
        <v>3.0916245081504812E-3</v>
      </c>
      <c r="E114" s="4">
        <v>-6.5514357401728063E-3</v>
      </c>
      <c r="I114" t="str">
        <v>https://www.insee.fr/fr/statistiques/serie/010764176</v>
      </c>
      <c r="J114" t="str">
        <v>010764176</v>
      </c>
      <c r="K114" t="str">
        <v>Ciment, chaux et plâtre</v>
      </c>
      <c r="L114" s="4">
        <v>2.9247910863509974E-2</v>
      </c>
      <c r="M114" s="4">
        <v>7.4910683415925217E-3</v>
      </c>
    </row>
    <row r="115" spans="1:13">
      <c r="A115" s="34" t="s">
        <v>88</v>
      </c>
      <c r="B115" s="32" t="s">
        <v>52</v>
      </c>
      <c r="C115" t="s">
        <v>120</v>
      </c>
      <c r="D115" s="4">
        <v>1.8612071257644303E-3</v>
      </c>
      <c r="E115" s="4">
        <v>3.0642152944313494E-3</v>
      </c>
      <c r="I115" t="str">
        <v>https://www.insee.fr/fr/statistiques/serie/010764301</v>
      </c>
      <c r="J115" t="str">
        <v>010764301</v>
      </c>
      <c r="K115" t="str">
        <v>Collecte, traitement et élimination des déchets ; récupération de matériaux</v>
      </c>
      <c r="L115" s="4">
        <v>2.6463262764632844E-2</v>
      </c>
      <c r="M115" s="4">
        <v>-9.5861229458309438E-3</v>
      </c>
    </row>
    <row r="116" spans="1:13">
      <c r="A116" s="34" t="s">
        <v>280</v>
      </c>
      <c r="B116" s="187" t="s">
        <v>320</v>
      </c>
      <c r="C116" t="s">
        <v>121</v>
      </c>
      <c r="D116" s="4">
        <v>0.31659324522760635</v>
      </c>
      <c r="E116" s="4">
        <v>0.11775542015020557</v>
      </c>
      <c r="I116" t="str">
        <v>https://www.insee.fr/fr/statistiques/serie/010777519</v>
      </c>
      <c r="J116" t="str">
        <v>010777519</v>
      </c>
      <c r="K116" t="str">
        <v>GNR pour les Travaux Publics</v>
      </c>
      <c r="L116" s="4">
        <v>2.3967130792056368E-2</v>
      </c>
      <c r="M116" s="4">
        <v>2.9609846725499267E-2</v>
      </c>
    </row>
    <row r="117" spans="1:13">
      <c r="A117" s="159" t="s">
        <v>281</v>
      </c>
      <c r="B117" s="187" t="s">
        <v>321</v>
      </c>
      <c r="C117" t="s">
        <v>263</v>
      </c>
      <c r="D117" s="4">
        <v>-2.3275862068965369E-2</v>
      </c>
      <c r="E117" s="4">
        <v>-0.15884079236977267</v>
      </c>
      <c r="I117" t="str">
        <v>https://www.insee.fr/fr/statistiques/serie/010763881</v>
      </c>
      <c r="J117" t="str">
        <v>010763881</v>
      </c>
      <c r="K117" t="str">
        <v>Produits sidérurgiques en acier non allié</v>
      </c>
      <c r="L117" s="4">
        <v>1.8633540372670732E-2</v>
      </c>
      <c r="M117" s="4">
        <v>-2.1950787750044221E-2</v>
      </c>
    </row>
    <row r="118" spans="1:13" ht="30">
      <c r="A118" s="34" t="s">
        <v>90</v>
      </c>
      <c r="B118" s="32" t="s">
        <v>55</v>
      </c>
      <c r="C118" t="s">
        <v>55</v>
      </c>
      <c r="D118" s="4">
        <v>3.9284881664805038E-3</v>
      </c>
      <c r="E118" s="4">
        <v>3.7911447581447044E-2</v>
      </c>
      <c r="I118" t="str">
        <v>https://www.insee.fr/fr/statistiques/serie/010764101</v>
      </c>
      <c r="J118" t="str">
        <v>010764101</v>
      </c>
      <c r="K118" t="str">
        <v>Autres textiles</v>
      </c>
      <c r="L118" s="4">
        <v>1.1139674378748854E-2</v>
      </c>
      <c r="M118" s="4">
        <v>1.0331467929401761E-2</v>
      </c>
    </row>
    <row r="119" spans="1:13">
      <c r="A119" s="34" t="s">
        <v>282</v>
      </c>
      <c r="B119" s="32" t="s">
        <v>322</v>
      </c>
      <c r="C119" t="s">
        <v>122</v>
      </c>
      <c r="D119" s="4">
        <v>-8.2372322899505468E-3</v>
      </c>
      <c r="E119" s="4">
        <v>-9.1788231437469614E-3</v>
      </c>
      <c r="I119" t="str">
        <v>https://www.insee.fr/fr/statistiques/serie/010765500</v>
      </c>
      <c r="J119" t="str">
        <v>010765500</v>
      </c>
      <c r="K119" t="str">
        <v>Sables et granulats</v>
      </c>
      <c r="L119" s="4">
        <v>1.0353753235547769E-2</v>
      </c>
      <c r="M119" s="4">
        <v>3.445305770887197E-3</v>
      </c>
    </row>
    <row r="120" spans="1:13">
      <c r="A120" s="34" t="s">
        <v>284</v>
      </c>
      <c r="B120" s="187" t="s">
        <v>283</v>
      </c>
      <c r="C120" t="s">
        <v>123</v>
      </c>
      <c r="D120" s="4">
        <v>2.936857562408246E-3</v>
      </c>
      <c r="E120" s="4">
        <v>1.1269276393831573E-2</v>
      </c>
      <c r="I120" t="str">
        <v>https://www.insee.fr/fr/statistiques/8682743</v>
      </c>
      <c r="J120">
        <v>8682743</v>
      </c>
      <c r="K120" t="str">
        <v>Travail</v>
      </c>
      <c r="L120" s="4">
        <v>9.9715099715098621E-3</v>
      </c>
      <c r="M120" s="4">
        <v>1.877256317689513E-2</v>
      </c>
    </row>
    <row r="121" spans="1:13">
      <c r="A121" s="34" t="s">
        <v>285</v>
      </c>
      <c r="B121" s="187" t="s">
        <v>323</v>
      </c>
      <c r="C121" t="s">
        <v>124</v>
      </c>
      <c r="D121" s="4">
        <v>8.8697415103902166E-3</v>
      </c>
      <c r="E121" s="4">
        <v>5.9644670050762461E-3</v>
      </c>
      <c r="I121" t="str">
        <v>https://www.insee.fr/fr/statistiques/serie/010764180</v>
      </c>
      <c r="J121" t="str">
        <v>010764180</v>
      </c>
      <c r="K121" t="str">
        <v>Béton prêt à l'emploi</v>
      </c>
      <c r="L121" s="4">
        <v>8.8697415103902166E-3</v>
      </c>
      <c r="M121" s="4">
        <v>5.9644670050762461E-3</v>
      </c>
    </row>
    <row r="122" spans="1:13">
      <c r="A122" s="34" t="s">
        <v>286</v>
      </c>
      <c r="B122" s="187" t="s">
        <v>324</v>
      </c>
      <c r="C122" t="s">
        <v>125</v>
      </c>
      <c r="D122" s="4">
        <v>-1.000769822940728E-2</v>
      </c>
      <c r="E122" s="4">
        <v>-2.9654654654654555E-2</v>
      </c>
      <c r="I122" t="str">
        <v>https://www.insee.fr/fr/statistiques/serie/010764179</v>
      </c>
      <c r="J122" t="str">
        <v>010764179</v>
      </c>
      <c r="K122" t="str">
        <v>Éléments en béton pour la construction</v>
      </c>
      <c r="L122" s="4">
        <v>8.7694483734088724E-3</v>
      </c>
      <c r="M122" s="4">
        <v>-6.7142257658413529E-3</v>
      </c>
    </row>
    <row r="123" spans="1:13">
      <c r="A123" s="34" t="s">
        <v>287</v>
      </c>
      <c r="B123" s="196" t="s">
        <v>319</v>
      </c>
      <c r="C123" t="s">
        <v>126</v>
      </c>
      <c r="D123" s="4">
        <v>1.0353753235547769E-2</v>
      </c>
      <c r="E123" s="4">
        <v>3.445305770887197E-3</v>
      </c>
      <c r="I123" t="str">
        <v>https://www.insee.fr/fr/statistiques/serie/010763930</v>
      </c>
      <c r="J123" t="str">
        <v>010763930</v>
      </c>
      <c r="K123" t="str">
        <v>Fils et câbles d'énergie</v>
      </c>
      <c r="L123" s="4">
        <v>8.0321285140563248E-3</v>
      </c>
      <c r="M123" s="4">
        <v>-1.6651370132424348E-2</v>
      </c>
    </row>
    <row r="124" spans="1:13">
      <c r="A124" s="34" t="s">
        <v>288</v>
      </c>
      <c r="B124" s="32" t="s">
        <v>325</v>
      </c>
      <c r="C124" t="s">
        <v>127</v>
      </c>
      <c r="D124" s="4">
        <v>-1.387574897508681E-2</v>
      </c>
      <c r="E124" s="4">
        <v>-2.2808378588052625E-2</v>
      </c>
      <c r="I124" t="str">
        <v>https://www.insee.fr/fr/statistiques/serie/001764283</v>
      </c>
      <c r="J124" t="str">
        <v>001764283</v>
      </c>
      <c r="K124" t="str">
        <v>Gazole</v>
      </c>
      <c r="L124" s="4">
        <v>6.8515931617108006E-3</v>
      </c>
      <c r="M124" s="4">
        <v>1.9929342957115459E-2</v>
      </c>
    </row>
    <row r="125" spans="1:13">
      <c r="A125" s="34" t="s">
        <v>289</v>
      </c>
      <c r="B125" s="32" t="s">
        <v>326</v>
      </c>
      <c r="C125" t="s">
        <v>128</v>
      </c>
      <c r="D125" s="4">
        <v>2.9247910863509974E-2</v>
      </c>
      <c r="E125" s="4">
        <v>7.4910683415925217E-3</v>
      </c>
      <c r="I125" t="str">
        <v>https://www.insee.fr/fr/statistiques/serie/010766292</v>
      </c>
      <c r="J125" t="str">
        <v>010766292</v>
      </c>
      <c r="K125" t="str">
        <v>Réseaux d’assainissement</v>
      </c>
      <c r="L125" s="4">
        <v>6.030414263240802E-3</v>
      </c>
      <c r="M125" s="4">
        <v>-1.556870818322198E-2</v>
      </c>
    </row>
    <row r="126" spans="1:13">
      <c r="A126" s="34" t="s">
        <v>290</v>
      </c>
      <c r="B126" s="32" t="s">
        <v>327</v>
      </c>
      <c r="C126" t="s">
        <v>258</v>
      </c>
      <c r="D126" s="4">
        <v>3.1799938252547122E-2</v>
      </c>
      <c r="E126" s="4">
        <v>-1.5557217651458677E-2</v>
      </c>
      <c r="I126" t="str">
        <v>https://www.insee.fr/fr/statistiques/serie/001565195</v>
      </c>
      <c r="J126" t="str">
        <v>001565195</v>
      </c>
      <c r="K126" t="str">
        <v>Travail activités spécialisées</v>
      </c>
      <c r="L126" s="4">
        <v>5.8479532163744352E-3</v>
      </c>
      <c r="M126" s="4">
        <v>1.09296328134596E-2</v>
      </c>
    </row>
    <row r="127" spans="1:13">
      <c r="A127" s="34" t="s">
        <v>291</v>
      </c>
      <c r="B127" s="32" t="s">
        <v>328</v>
      </c>
      <c r="C127" t="s">
        <v>129</v>
      </c>
      <c r="D127" s="4">
        <v>-7.7519379844964709E-3</v>
      </c>
      <c r="E127" s="4">
        <v>-2.8092922744462512E-2</v>
      </c>
      <c r="I127" t="str">
        <v>https://www.fntp.fr/sites/default/files/content/indice_gazole_htt.pdf</v>
      </c>
      <c r="J127" t="str">
        <v>Gazole routier HTT</v>
      </c>
      <c r="K127" t="str">
        <v>Gazole routier HTT</v>
      </c>
      <c r="L127" s="4">
        <v>3.9284881664805038E-3</v>
      </c>
      <c r="M127" s="4">
        <v>3.7911447581447044E-2</v>
      </c>
    </row>
    <row r="128" spans="1:13">
      <c r="A128" s="34" t="s">
        <v>292</v>
      </c>
      <c r="B128" s="32" t="s">
        <v>329</v>
      </c>
      <c r="C128" t="s">
        <v>130</v>
      </c>
      <c r="D128" s="4">
        <v>-7.5425038639876263E-2</v>
      </c>
      <c r="E128" s="4">
        <v>-0.13323124042879009</v>
      </c>
      <c r="I128" t="str">
        <v>https://www.insee.fr/fr/statistiques/serie/001711011</v>
      </c>
      <c r="J128" t="str">
        <v>001711011</v>
      </c>
      <c r="K128" t="str">
        <v>Frais divers</v>
      </c>
      <c r="L128" s="4">
        <v>3.0916245081504812E-3</v>
      </c>
      <c r="M128" s="4">
        <v>-6.5514357401728063E-3</v>
      </c>
    </row>
    <row r="129" spans="1:13">
      <c r="A129" s="34" t="s">
        <v>293</v>
      </c>
      <c r="B129" s="32" t="s">
        <v>330</v>
      </c>
      <c r="C129" t="s">
        <v>131</v>
      </c>
      <c r="D129" s="4">
        <v>-2.1238485158648901E-2</v>
      </c>
      <c r="E129" s="4">
        <v>-1.7782293915915348E-2</v>
      </c>
      <c r="I129" t="str">
        <v>https://www.insee.fr/fr/statistiques/serie/010764116#Tableau</v>
      </c>
      <c r="J129" t="str">
        <v> 010764116</v>
      </c>
      <c r="K129" t="str">
        <v>Ensemble des produits du sciage</v>
      </c>
      <c r="L129" s="4">
        <v>2.936857562408246E-3</v>
      </c>
      <c r="M129" s="4">
        <v>1.1269276393831573E-2</v>
      </c>
    </row>
    <row r="130" spans="1:13">
      <c r="A130" s="34" t="s">
        <v>294</v>
      </c>
      <c r="B130" s="32" t="s">
        <v>331</v>
      </c>
      <c r="C130" t="s">
        <v>132</v>
      </c>
      <c r="D130" s="4">
        <v>-4.9562682215744669E-3</v>
      </c>
      <c r="E130" s="4">
        <v>-2.3327015599939882E-3</v>
      </c>
      <c r="I130" t="str">
        <v>https://www.insee.fr/fr/statistiques/serie/001711943</v>
      </c>
      <c r="J130" t="str">
        <v>001711943</v>
      </c>
      <c r="K130" t="str">
        <v>Transports routiers</v>
      </c>
      <c r="L130" s="4">
        <v>1.8612071257644303E-3</v>
      </c>
      <c r="M130" s="4">
        <v>3.0642152944313494E-3</v>
      </c>
    </row>
    <row r="131" spans="1:13">
      <c r="A131" s="34" t="s">
        <v>295</v>
      </c>
      <c r="B131" s="32" t="s">
        <v>332</v>
      </c>
      <c r="C131" t="s">
        <v>133</v>
      </c>
      <c r="D131" s="4">
        <v>-2.6021337496751062E-4</v>
      </c>
      <c r="E131" s="4">
        <v>-1.2083815400437015E-2</v>
      </c>
      <c r="I131" t="str">
        <v>https://www.insee.fr/fr/statistiques/serie/010764306</v>
      </c>
      <c r="J131" t="str">
        <v>010764306</v>
      </c>
      <c r="K131" t="str">
        <v>Traitement et élimination des déchets non dangereux</v>
      </c>
      <c r="L131" s="4">
        <v>8.4674005080453973E-4</v>
      </c>
      <c r="M131" s="4">
        <v>-2.1114864864865135E-3</v>
      </c>
    </row>
    <row r="132" spans="1:13">
      <c r="A132" s="34" t="s">
        <v>296</v>
      </c>
      <c r="B132" s="32" t="s">
        <v>333</v>
      </c>
      <c r="C132" t="s">
        <v>134</v>
      </c>
      <c r="D132" s="4">
        <v>-1.0981141083790891E-2</v>
      </c>
      <c r="E132" s="4">
        <v>-5.2531041069724393E-3</v>
      </c>
      <c r="I132" t="str">
        <v>https://www.insee.fr/fr/statistiques/serie/010764834</v>
      </c>
      <c r="J132" t="str">
        <v>010764834</v>
      </c>
      <c r="K132" t="str">
        <v>Câbles de fibres optiques</v>
      </c>
      <c r="L132" s="4">
        <v>8.0677692617991958E-4</v>
      </c>
      <c r="M132" s="4">
        <v>-1.3916500994035741E-2</v>
      </c>
    </row>
    <row r="133" spans="1:13">
      <c r="A133" s="34" t="s">
        <v>297</v>
      </c>
      <c r="B133" s="32" t="s">
        <v>334</v>
      </c>
      <c r="C133" t="s">
        <v>266</v>
      </c>
      <c r="D133" s="4">
        <v>6.030414263240802E-3</v>
      </c>
      <c r="E133" s="4">
        <v>-1.556870818322198E-2</v>
      </c>
      <c r="I133" t="str">
        <v>https://www.insee.fr/fr/statistiques/serie/010764195</v>
      </c>
      <c r="J133" t="str">
        <v>010764195</v>
      </c>
      <c r="K133" t="str">
        <v>Travaux de fonderie de fonte</v>
      </c>
      <c r="L133" s="4">
        <v>-2.6021337496751062E-4</v>
      </c>
      <c r="M133" s="4">
        <v>-1.2083815400437015E-2</v>
      </c>
    </row>
    <row r="134" spans="1:13">
      <c r="A134" s="34" t="s">
        <v>298</v>
      </c>
      <c r="B134" s="32" t="s">
        <v>335</v>
      </c>
      <c r="C134" t="s">
        <v>261</v>
      </c>
      <c r="D134" s="4">
        <v>1.1139674378748854E-2</v>
      </c>
      <c r="E134" s="4">
        <v>1.0331467929401761E-2</v>
      </c>
      <c r="I134" t="str">
        <v>https://www.insee.fr/fr/statistiques/serie/001711009</v>
      </c>
      <c r="J134" t="str">
        <v>001711009</v>
      </c>
      <c r="K134" t="str">
        <v>Matériel</v>
      </c>
      <c r="L134" s="4">
        <v>-2.6336581511720025E-3</v>
      </c>
      <c r="M134" s="4">
        <v>1.8494055482165539E-3</v>
      </c>
    </row>
    <row r="135" spans="1:13">
      <c r="A135" s="34" t="s">
        <v>299</v>
      </c>
      <c r="B135" s="32" t="s">
        <v>336</v>
      </c>
      <c r="C135" t="s">
        <v>135</v>
      </c>
      <c r="D135" s="4">
        <v>-3.6204268292682862E-2</v>
      </c>
      <c r="E135" s="4">
        <v>-7.0023461469049031E-2</v>
      </c>
      <c r="I135" t="str">
        <v>https://www.insee.fr/fr/statistiques/serie/010764181</v>
      </c>
      <c r="J135" t="str">
        <v>010764181</v>
      </c>
      <c r="K135" t="str">
        <v>Mortiers et bétons secs</v>
      </c>
      <c r="L135" s="4">
        <v>-4.9562682215744669E-3</v>
      </c>
      <c r="M135" s="4">
        <v>-2.3327015599939882E-3</v>
      </c>
    </row>
    <row r="136" spans="1:13">
      <c r="A136" s="34" t="s">
        <v>300</v>
      </c>
      <c r="B136" s="32" t="s">
        <v>337</v>
      </c>
      <c r="C136" t="s">
        <v>136</v>
      </c>
      <c r="D136" s="4">
        <v>-1.4484831921289798E-2</v>
      </c>
      <c r="E136" s="4">
        <v>9.6445301736025613E-4</v>
      </c>
      <c r="I136" t="str">
        <v>https://www.insee.fr/fr/statistiques/serie/010765837</v>
      </c>
      <c r="J136" t="str">
        <v>010765837</v>
      </c>
      <c r="K136" t="str">
        <v>Acier pour la construction</v>
      </c>
      <c r="L136" s="4">
        <v>-7.7519379844964709E-3</v>
      </c>
      <c r="M136" s="4">
        <v>-2.8092922744462512E-2</v>
      </c>
    </row>
    <row r="137" spans="1:13">
      <c r="A137" s="34" t="s">
        <v>301</v>
      </c>
      <c r="B137" s="32" t="s">
        <v>338</v>
      </c>
      <c r="C137" t="s">
        <v>137</v>
      </c>
      <c r="D137" s="4">
        <v>8.7694483734088724E-3</v>
      </c>
      <c r="E137" s="4">
        <v>-6.7142257658413529E-3</v>
      </c>
      <c r="I137" t="str">
        <v>https://www.insee.fr/fr/statistiques/serie/010763845</v>
      </c>
      <c r="J137" t="str">
        <v>010763845</v>
      </c>
      <c r="K137" t="str">
        <v>Tubes, tuyaux en matière plastique</v>
      </c>
      <c r="L137" s="4">
        <v>-8.2372322899505468E-3</v>
      </c>
      <c r="M137" s="4">
        <v>-9.1788231437469614E-3</v>
      </c>
    </row>
    <row r="138" spans="1:13">
      <c r="A138" s="34" t="s">
        <v>302</v>
      </c>
      <c r="B138" s="32" t="s">
        <v>339</v>
      </c>
      <c r="C138" t="s">
        <v>138</v>
      </c>
      <c r="D138" s="4">
        <v>8.0321285140563248E-3</v>
      </c>
      <c r="E138" s="4">
        <v>-1.6651370132424348E-2</v>
      </c>
      <c r="I138" t="str">
        <v>https://www.insee.fr/fr/statistiques/serie/010764228</v>
      </c>
      <c r="J138" t="str">
        <v>010764228</v>
      </c>
      <c r="K138" t="str">
        <v>Appareils d'éclairage électrique</v>
      </c>
      <c r="L138" s="4">
        <v>-9.0568394753279824E-3</v>
      </c>
      <c r="M138" s="4">
        <v>-1.1627906976744318E-2</v>
      </c>
    </row>
    <row r="139" spans="1:13">
      <c r="A139" s="34" t="s">
        <v>303</v>
      </c>
      <c r="B139" s="32" t="s">
        <v>340</v>
      </c>
      <c r="C139" t="s">
        <v>139</v>
      </c>
      <c r="D139" s="4">
        <v>3.6814835014998826E-2</v>
      </c>
      <c r="E139" s="4">
        <v>4.5639087218255714E-2</v>
      </c>
      <c r="I139" t="str">
        <v>https://www.insee.fr/fr/statistiques/serie/010766236</v>
      </c>
      <c r="J139" t="str">
        <v>010766236</v>
      </c>
      <c r="K139" t="str">
        <v>Barres crénelées ou nervurées pour béton armé</v>
      </c>
      <c r="L139" s="4">
        <v>-1.000769822940728E-2</v>
      </c>
      <c r="M139" s="4">
        <v>-2.9654654654654555E-2</v>
      </c>
    </row>
    <row r="140" spans="1:13">
      <c r="A140" s="34" t="s">
        <v>304</v>
      </c>
      <c r="B140" s="32" t="s">
        <v>341</v>
      </c>
      <c r="C140" t="s">
        <v>140</v>
      </c>
      <c r="D140" s="4">
        <v>5.3840063341251021E-2</v>
      </c>
      <c r="E140" s="4">
        <v>6.9102898749828334E-2</v>
      </c>
      <c r="I140" t="str">
        <v>https://www.insee.fr/fr/statistiques/serie/010764172</v>
      </c>
      <c r="J140" t="str">
        <v>010764172</v>
      </c>
      <c r="K140" t="str">
        <v>Tuiles, briques et produits de construction en terre cuite</v>
      </c>
      <c r="L140" s="4">
        <v>-1.0981141083790891E-2</v>
      </c>
      <c r="M140" s="4">
        <v>-5.2531041069724393E-3</v>
      </c>
    </row>
    <row r="141" spans="1:13">
      <c r="A141" s="34" t="s">
        <v>318</v>
      </c>
      <c r="B141" s="32" t="s">
        <v>342</v>
      </c>
      <c r="C141" t="s">
        <v>141</v>
      </c>
      <c r="D141" s="4">
        <v>-9.0568394753279824E-3</v>
      </c>
      <c r="E141" s="4">
        <v>-1.1627906976744318E-2</v>
      </c>
      <c r="I141" t="str">
        <v>https://www.insee.fr/fr/statistiques/serie/010763825</v>
      </c>
      <c r="J141" t="str">
        <v>010763825</v>
      </c>
      <c r="K141" t="str">
        <v>Peintures Industries</v>
      </c>
      <c r="L141" s="4">
        <v>-1.3013013013012942E-2</v>
      </c>
      <c r="M141" s="4">
        <v>-3.0643389085581729E-2</v>
      </c>
    </row>
    <row r="142" spans="1:13">
      <c r="A142" s="34" t="s">
        <v>305</v>
      </c>
      <c r="B142" s="32" t="s">
        <v>343</v>
      </c>
      <c r="C142" t="s">
        <v>142</v>
      </c>
      <c r="D142" s="4">
        <v>8.0677692617991958E-4</v>
      </c>
      <c r="E142" s="4">
        <v>-1.3916500994035741E-2</v>
      </c>
      <c r="I142" t="str">
        <v>https://www.insee.fr/fr/statistiques/serie/010764160</v>
      </c>
      <c r="J142" t="str">
        <v>010764160</v>
      </c>
      <c r="K142" t="str">
        <v>Plaques, feuilles, tubes et profilés en matières plastiques</v>
      </c>
      <c r="L142" s="4">
        <v>-1.387574897508681E-2</v>
      </c>
      <c r="M142" s="4">
        <v>-2.2808378588052625E-2</v>
      </c>
    </row>
    <row r="143" spans="1:13">
      <c r="A143" s="34" t="s">
        <v>306</v>
      </c>
      <c r="B143" s="32" t="s">
        <v>344</v>
      </c>
      <c r="C143" t="s">
        <v>143</v>
      </c>
      <c r="D143" s="4">
        <v>-1.3013013013012942E-2</v>
      </c>
      <c r="E143" s="4">
        <v>-3.0643389085581729E-2</v>
      </c>
      <c r="I143" t="str">
        <v>https://www.insee.fr/fr/statistiques/serie/010764187</v>
      </c>
      <c r="J143" t="str">
        <v>010764187</v>
      </c>
      <c r="K143" t="str">
        <v>Tubes, tuyaux, profilés creux et accessoires correspondants en acier</v>
      </c>
      <c r="L143" s="4">
        <v>-1.4484831921289798E-2</v>
      </c>
      <c r="M143" s="4">
        <v>9.6445301736025613E-4</v>
      </c>
    </row>
    <row r="144" spans="1:13">
      <c r="A144" s="34" t="s">
        <v>307</v>
      </c>
      <c r="B144" s="32" t="s">
        <v>345</v>
      </c>
      <c r="C144" t="s">
        <v>144</v>
      </c>
      <c r="D144" s="4">
        <v>1.8633540372670732E-2</v>
      </c>
      <c r="E144" s="4">
        <v>-2.1950787750044221E-2</v>
      </c>
      <c r="I144" t="str">
        <v>https://www.insee.fr/fr/statistiques/serie/010763871</v>
      </c>
      <c r="J144" t="str">
        <v>010763871</v>
      </c>
      <c r="K144" t="str">
        <v>Produits de voierie en béton</v>
      </c>
      <c r="L144" s="4">
        <v>-2.1238485158648901E-2</v>
      </c>
      <c r="M144" s="4">
        <v>-1.7782293915915348E-2</v>
      </c>
    </row>
    <row r="145" spans="1:42">
      <c r="A145" s="34" t="s">
        <v>308</v>
      </c>
      <c r="B145" s="32" t="s">
        <v>346</v>
      </c>
      <c r="C145" t="s">
        <v>145</v>
      </c>
      <c r="D145" s="4">
        <v>4.1141897565071472E-2</v>
      </c>
      <c r="E145" s="4">
        <v>-9.9776013031971367E-3</v>
      </c>
      <c r="I145" t="str">
        <v>https://www.insee.fr/fr/statistiques/serie/010764297</v>
      </c>
      <c r="J145" t="str">
        <v>010764297</v>
      </c>
      <c r="K145" t="str">
        <v>Gaz naturel</v>
      </c>
      <c r="L145" s="4">
        <v>-2.3275862068965369E-2</v>
      </c>
      <c r="M145" s="4">
        <v>-0.15884079236977267</v>
      </c>
    </row>
    <row r="146" spans="1:42">
      <c r="A146" s="34" t="s">
        <v>309</v>
      </c>
      <c r="B146" s="32" t="s">
        <v>347</v>
      </c>
      <c r="C146" t="s">
        <v>148</v>
      </c>
      <c r="D146" s="4">
        <v>8.4674005080453973E-4</v>
      </c>
      <c r="E146" s="4">
        <v>-2.1114864864865135E-3</v>
      </c>
      <c r="I146" t="str">
        <v>https://www.insee.fr/fr/statistiques/serie/010764143</v>
      </c>
      <c r="J146" t="str">
        <v>010764143</v>
      </c>
      <c r="K146" t="str">
        <v>Matières plastiques sous formes primaires</v>
      </c>
      <c r="L146" s="4">
        <v>-3.6204268292682862E-2</v>
      </c>
      <c r="M146" s="4">
        <v>-7.0023461469049031E-2</v>
      </c>
    </row>
    <row r="147" spans="1:42">
      <c r="A147" s="34" t="s">
        <v>310</v>
      </c>
      <c r="B147" s="32" t="s">
        <v>348</v>
      </c>
      <c r="C147" t="s">
        <v>149</v>
      </c>
      <c r="D147" s="4">
        <v>2.6463262764632844E-2</v>
      </c>
      <c r="E147" s="4">
        <v>-9.5861229458309438E-3</v>
      </c>
      <c r="I147" t="str">
        <v>https://www.insee.fr/fr/statistiques/serie/010764136</v>
      </c>
      <c r="J147" t="str">
        <v>010764136</v>
      </c>
      <c r="K147" t="str">
        <v>Bitume</v>
      </c>
      <c r="L147" s="4">
        <v>-7.5425038639876263E-2</v>
      </c>
      <c r="M147" s="4">
        <v>-0.13323124042879009</v>
      </c>
    </row>
    <row r="148" spans="1:42">
      <c r="A148" s="34"/>
      <c r="B148" s="32"/>
      <c r="L148" s="4"/>
      <c r="M148" s="4"/>
    </row>
    <row r="149" spans="1:42">
      <c r="A149" s="34"/>
      <c r="B149" s="32"/>
      <c r="L149" s="4"/>
      <c r="M149" s="4"/>
    </row>
    <row r="152" spans="1:42">
      <c r="C152" t="str">
        <f>'A MODIFIER'!A11</f>
        <v>*3 mois</v>
      </c>
      <c r="D152">
        <f>('CUMULS INDICES'!B184/'CUMULS INDICES'!B185)-1</f>
        <v>-2.6336581511720025E-3</v>
      </c>
      <c r="E152">
        <f>('CUMULS INDICES'!C184/'CUMULS INDICES'!C185)-1</f>
        <v>9.9715099715098621E-3</v>
      </c>
      <c r="F152">
        <f>('CUMULS INDICES'!D184/'CUMULS INDICES'!D185)-1</f>
        <v>5.8479532163744352E-3</v>
      </c>
      <c r="G152">
        <f>('CUMULS INDICES'!E184/'CUMULS INDICES'!E185)-1</f>
        <v>2.3967130792056368E-2</v>
      </c>
      <c r="H152">
        <f>('CUMULS INDICES'!F184/'CUMULS INDICES'!F185)-1</f>
        <v>6.8515931617108006E-3</v>
      </c>
      <c r="I152">
        <f>('CUMULS INDICES'!G184/'CUMULS INDICES'!G185)-1</f>
        <v>3.0916245081504812E-3</v>
      </c>
      <c r="J152">
        <f>('CUMULS INDICES'!H184/'CUMULS INDICES'!H185)-1</f>
        <v>1.8612071257644303E-3</v>
      </c>
      <c r="K152">
        <f>('CUMULS INDICES'!I184/'CUMULS INDICES'!I185)-1</f>
        <v>0.31659324522760635</v>
      </c>
      <c r="L152">
        <f>('CUMULS INDICES'!J184/'CUMULS INDICES'!J185)-1</f>
        <v>-2.3275862068965369E-2</v>
      </c>
      <c r="M152">
        <f>('CUMULS INDICES'!K184/'CUMULS INDICES'!K185)-1</f>
        <v>3.9284881664805038E-3</v>
      </c>
      <c r="N152">
        <f>('CUMULS INDICES'!L184/'CUMULS INDICES'!L185)-1</f>
        <v>-8.2372322899505468E-3</v>
      </c>
      <c r="O152">
        <f>('CUMULS INDICES'!M184/'CUMULS INDICES'!M185)-1</f>
        <v>2.936857562408246E-3</v>
      </c>
      <c r="P152">
        <f>('CUMULS INDICES'!N184/'CUMULS INDICES'!N185)-1</f>
        <v>8.8697415103902166E-3</v>
      </c>
      <c r="Q152">
        <f>('CUMULS INDICES'!O184/'CUMULS INDICES'!O185)-1</f>
        <v>-1.000769822940728E-2</v>
      </c>
      <c r="R152">
        <f>('CUMULS INDICES'!P184/'CUMULS INDICES'!P185)-1</f>
        <v>1.0353753235547769E-2</v>
      </c>
      <c r="S152">
        <f>('CUMULS INDICES'!Q184/'CUMULS INDICES'!Q185)-1</f>
        <v>-1.387574897508681E-2</v>
      </c>
      <c r="T152">
        <f>('CUMULS INDICES'!R184/'CUMULS INDICES'!R185)-1</f>
        <v>2.9247910863509974E-2</v>
      </c>
      <c r="U152">
        <f>('CUMULS INDICES'!S184/'CUMULS INDICES'!S185)-1</f>
        <v>3.1799938252547122E-2</v>
      </c>
      <c r="V152">
        <f>('CUMULS INDICES'!T184/'CUMULS INDICES'!T185)-1</f>
        <v>-7.7519379844964709E-3</v>
      </c>
      <c r="W152">
        <f>('CUMULS INDICES'!U184/'CUMULS INDICES'!U185)-1</f>
        <v>-7.5425038639876263E-2</v>
      </c>
      <c r="X152">
        <f>('CUMULS INDICES'!V184/'CUMULS INDICES'!V185)-1</f>
        <v>-2.1238485158648901E-2</v>
      </c>
      <c r="Y152">
        <f>('CUMULS INDICES'!W184/'CUMULS INDICES'!W185)-1</f>
        <v>-4.9562682215744669E-3</v>
      </c>
      <c r="Z152">
        <f>('CUMULS INDICES'!X184/'CUMULS INDICES'!X185)-1</f>
        <v>-2.6021337496751062E-4</v>
      </c>
      <c r="AA152">
        <f>('CUMULS INDICES'!Y184/'CUMULS INDICES'!Y185)-1</f>
        <v>-1.0981141083790891E-2</v>
      </c>
      <c r="AB152">
        <f>('CUMULS INDICES'!Z184/'CUMULS INDICES'!Z185)-1</f>
        <v>6.030414263240802E-3</v>
      </c>
      <c r="AC152">
        <f>('CUMULS INDICES'!AA184/'CUMULS INDICES'!AA185)-1</f>
        <v>1.1139674378748854E-2</v>
      </c>
      <c r="AD152">
        <f>('CUMULS INDICES'!AB184/'CUMULS INDICES'!AB185)-1</f>
        <v>-3.6204268292682862E-2</v>
      </c>
      <c r="AE152">
        <f>('CUMULS INDICES'!AC184/'CUMULS INDICES'!AC185)-1</f>
        <v>-1.4484831921289798E-2</v>
      </c>
      <c r="AF152">
        <f>('CUMULS INDICES'!AD184/'CUMULS INDICES'!AD185)-1</f>
        <v>8.7694483734088724E-3</v>
      </c>
      <c r="AG152">
        <f>('CUMULS INDICES'!AE184/'CUMULS INDICES'!AE185)-1</f>
        <v>8.0321285140563248E-3</v>
      </c>
      <c r="AH152">
        <f>('CUMULS INDICES'!AF184/'CUMULS INDICES'!AF185)-1</f>
        <v>3.6814835014998826E-2</v>
      </c>
      <c r="AI152">
        <f>('CUMULS INDICES'!AG184/'CUMULS INDICES'!AG185)-1</f>
        <v>5.3840063341251021E-2</v>
      </c>
      <c r="AJ152">
        <f>('CUMULS INDICES'!AH184/'CUMULS INDICES'!AH185)-1</f>
        <v>-9.0568394753279824E-3</v>
      </c>
      <c r="AK152">
        <f>('CUMULS INDICES'!AI184/'CUMULS INDICES'!AI185)-1</f>
        <v>8.0677692617991958E-4</v>
      </c>
      <c r="AL152">
        <f>('CUMULS INDICES'!AJ184/'CUMULS INDICES'!AJ185)-1</f>
        <v>-1.3013013013012942E-2</v>
      </c>
      <c r="AM152">
        <f>('CUMULS INDICES'!AK184/'CUMULS INDICES'!AK185)-1</f>
        <v>1.8633540372670732E-2</v>
      </c>
      <c r="AN152">
        <f>('CUMULS INDICES'!AL184/'CUMULS INDICES'!AL185)-1</f>
        <v>4.1141897565071472E-2</v>
      </c>
      <c r="AO152">
        <f>('CUMULS INDICES'!AM184/'CUMULS INDICES'!AM185)-1</f>
        <v>8.4674005080453973E-4</v>
      </c>
      <c r="AP152">
        <f>('CUMULS INDICES'!AN184/'CUMULS INDICES'!AN185)-1</f>
        <v>2.6463262764632844E-2</v>
      </c>
    </row>
    <row r="153" spans="1:42">
      <c r="C153" t="str">
        <f>'A MODIFIER'!A12</f>
        <v>*6 mois</v>
      </c>
      <c r="D153">
        <f>('CUMULS INDICES'!B200/'CUMULS INDICES'!B201)-1</f>
        <v>1.8494055482165539E-3</v>
      </c>
      <c r="E153">
        <f>('CUMULS INDICES'!C200/'CUMULS INDICES'!C201)-1</f>
        <v>1.877256317689513E-2</v>
      </c>
      <c r="F153">
        <f>('CUMULS INDICES'!D200/'CUMULS INDICES'!D201)-1</f>
        <v>1.09296328134596E-2</v>
      </c>
      <c r="G153">
        <f>('CUMULS INDICES'!E200/'CUMULS INDICES'!E201)-1</f>
        <v>2.9609846725499267E-2</v>
      </c>
      <c r="H153">
        <f>('CUMULS INDICES'!F200/'CUMULS INDICES'!F201)-1</f>
        <v>1.9929342957115459E-2</v>
      </c>
      <c r="I153">
        <f>('CUMULS INDICES'!G200/'CUMULS INDICES'!G201)-1</f>
        <v>-6.5514357401728063E-3</v>
      </c>
      <c r="J153">
        <f>('CUMULS INDICES'!H200/'CUMULS INDICES'!H201)-1</f>
        <v>3.0642152944313494E-3</v>
      </c>
      <c r="K153">
        <f>('CUMULS INDICES'!I200/'CUMULS INDICES'!I201)-1</f>
        <v>0.11775542015020557</v>
      </c>
      <c r="L153">
        <f>('CUMULS INDICES'!J200/'CUMULS INDICES'!J201)-1</f>
        <v>-0.15884079236977267</v>
      </c>
      <c r="M153">
        <f>('CUMULS INDICES'!K200/'CUMULS INDICES'!K201)-1</f>
        <v>3.7911447581447044E-2</v>
      </c>
      <c r="N153">
        <f>('CUMULS INDICES'!L200/'CUMULS INDICES'!L201)-1</f>
        <v>-9.1788231437469614E-3</v>
      </c>
      <c r="O153">
        <f>('CUMULS INDICES'!M200/'CUMULS INDICES'!M201)-1</f>
        <v>1.1269276393831573E-2</v>
      </c>
      <c r="P153">
        <f>('CUMULS INDICES'!N200/'CUMULS INDICES'!N201)-1</f>
        <v>5.9644670050762461E-3</v>
      </c>
      <c r="Q153">
        <f>('CUMULS INDICES'!O200/'CUMULS INDICES'!O201)-1</f>
        <v>-2.9654654654654555E-2</v>
      </c>
      <c r="R153">
        <f>('CUMULS INDICES'!P200/'CUMULS INDICES'!P201)-1</f>
        <v>3.445305770887197E-3</v>
      </c>
      <c r="S153">
        <f>('CUMULS INDICES'!Q200/'CUMULS INDICES'!Q201)-1</f>
        <v>-2.2808378588052625E-2</v>
      </c>
      <c r="T153">
        <f>('CUMULS INDICES'!R200/'CUMULS INDICES'!R201)-1</f>
        <v>7.4910683415925217E-3</v>
      </c>
      <c r="U153">
        <f>('CUMULS INDICES'!S200/'CUMULS INDICES'!S201)-1</f>
        <v>-1.5557217651458677E-2</v>
      </c>
      <c r="V153">
        <f>('CUMULS INDICES'!T200/'CUMULS INDICES'!T201)-1</f>
        <v>-2.8092922744462512E-2</v>
      </c>
      <c r="W153">
        <f>('CUMULS INDICES'!U200/'CUMULS INDICES'!U201)-1</f>
        <v>-0.13323124042879009</v>
      </c>
      <c r="X153">
        <f>('CUMULS INDICES'!V200/'CUMULS INDICES'!V201)-1</f>
        <v>-1.7782293915915348E-2</v>
      </c>
      <c r="Y153">
        <f>('CUMULS INDICES'!W200/'CUMULS INDICES'!W201)-1</f>
        <v>-2.3327015599939882E-3</v>
      </c>
      <c r="Z153">
        <f>('CUMULS INDICES'!X200/'CUMULS INDICES'!X201)-1</f>
        <v>-1.2083815400437015E-2</v>
      </c>
      <c r="AA153">
        <f>('CUMULS INDICES'!Y200/'CUMULS INDICES'!Y201)-1</f>
        <v>-5.2531041069724393E-3</v>
      </c>
      <c r="AB153">
        <f>('CUMULS INDICES'!Z200/'CUMULS INDICES'!Z201)-1</f>
        <v>-1.556870818322198E-2</v>
      </c>
      <c r="AC153">
        <f>('CUMULS INDICES'!AA200/'CUMULS INDICES'!AA201)-1</f>
        <v>1.0331467929401761E-2</v>
      </c>
      <c r="AD153">
        <f>('CUMULS INDICES'!AB200/'CUMULS INDICES'!AB201)-1</f>
        <v>-7.0023461469049031E-2</v>
      </c>
      <c r="AE153">
        <f>('CUMULS INDICES'!AC200/'CUMULS INDICES'!AC201)-1</f>
        <v>9.6445301736025613E-4</v>
      </c>
      <c r="AF153">
        <f>('CUMULS INDICES'!AD200/'CUMULS INDICES'!AD201)-1</f>
        <v>-6.7142257658413529E-3</v>
      </c>
      <c r="AG153">
        <f>('CUMULS INDICES'!AE200/'CUMULS INDICES'!AE201)-1</f>
        <v>-1.6651370132424348E-2</v>
      </c>
      <c r="AH153">
        <f>('CUMULS INDICES'!AF200/'CUMULS INDICES'!AF201)-1</f>
        <v>4.5639087218255714E-2</v>
      </c>
      <c r="AI153">
        <f>('CUMULS INDICES'!AG200/'CUMULS INDICES'!AG201)-1</f>
        <v>6.9102898749828334E-2</v>
      </c>
      <c r="AJ153">
        <f>('CUMULS INDICES'!AH200/'CUMULS INDICES'!AH201)-1</f>
        <v>-1.1627906976744318E-2</v>
      </c>
      <c r="AK153">
        <f>('CUMULS INDICES'!AI200/'CUMULS INDICES'!AI201)-1</f>
        <v>-1.3916500994035741E-2</v>
      </c>
      <c r="AL153">
        <f>('CUMULS INDICES'!AJ200/'CUMULS INDICES'!AJ201)-1</f>
        <v>-3.0643389085581729E-2</v>
      </c>
      <c r="AM153">
        <f>('CUMULS INDICES'!AK200/'CUMULS INDICES'!AK201)-1</f>
        <v>-2.1950787750044221E-2</v>
      </c>
      <c r="AN153">
        <f>('CUMULS INDICES'!AL200/'CUMULS INDICES'!AL201)-1</f>
        <v>-9.9776013031971367E-3</v>
      </c>
      <c r="AO153">
        <f>('CUMULS INDICES'!AM200/'CUMULS INDICES'!AM201)-1</f>
        <v>-2.1114864864865135E-3</v>
      </c>
      <c r="AP153">
        <f>('CUMULS INDICES'!AN200/'CUMULS INDICES'!AN201)-1</f>
        <v>-9.5861229458309438E-3</v>
      </c>
    </row>
    <row r="157" spans="1:42">
      <c r="A157" s="245" t="str">
        <f>"D. EVOLUTION PONCTUELLE : "&amp;'A MODIFIER'!F4&amp;" SUR "&amp;UPPER(TEXT(EDATE(DATE4,-12),"mmmmmmm aaaa"))&amp;" ET "&amp;UPPER(TEXT(EDATE(DATE4,-24),"mmmmmmm aaaa"))</f>
        <v>D. EVOLUTION PONCTUELLE : FÉVRIER 2026 SUR FÉVRIER 2025 ET FÉVRIER 2024</v>
      </c>
      <c r="B157" s="245"/>
      <c r="C157" s="245"/>
    </row>
    <row r="160" spans="1:42">
      <c r="D160" t="str">
        <f>'A MODIFIER'!E15</f>
        <v>*/février 2025</v>
      </c>
      <c r="E160" t="str">
        <f>'A MODIFIER'!E16</f>
        <v>*/février 2024</v>
      </c>
    </row>
    <row r="161" spans="1:13">
      <c r="A161" s="34" t="s">
        <v>84</v>
      </c>
      <c r="B161" s="32" t="s">
        <v>47</v>
      </c>
      <c r="C161" s="136" t="s">
        <v>115</v>
      </c>
      <c r="D161" cm="1">
        <f t="array" ref="D161:E199">TRANSPOSE(D204:AP205)</f>
        <v>6.4102564102563875E-3</v>
      </c>
      <c r="E161">
        <v>1.208702659145855E-2</v>
      </c>
      <c r="I161" t="str" cm="1">
        <f t="array" ref="I161:M199">_xlfn._xlws.SORT(A161:E199, 4,-1, FALSE)</f>
        <v>https://www.insee.fr/fr/statistiques/serie/010764224</v>
      </c>
      <c r="J161" t="str">
        <v>010764224</v>
      </c>
      <c r="K161" t="str">
        <v>Matériel de distribution et de commande électrique</v>
      </c>
      <c r="L161">
        <v>0.17223650385604117</v>
      </c>
      <c r="M161">
        <v>0.12315270935960609</v>
      </c>
    </row>
    <row r="162" spans="1:13">
      <c r="A162" s="37" t="s">
        <v>356</v>
      </c>
      <c r="B162">
        <v>8682743</v>
      </c>
      <c r="C162" t="s">
        <v>116</v>
      </c>
      <c r="D162">
        <v>3.2023289665211063E-2</v>
      </c>
      <c r="E162">
        <v>6.8575734740015326E-2</v>
      </c>
      <c r="I162" t="str">
        <v>https://www.insee.fr/fr/statistiques/serie/010764223</v>
      </c>
      <c r="J162" t="str">
        <v>010764223</v>
      </c>
      <c r="K162" t="str">
        <v>Moteurs, génératrices, transfo. électr., matér. distrib., cmde électr.</v>
      </c>
      <c r="L162">
        <v>0.10643776824034346</v>
      </c>
      <c r="M162">
        <v>8.5930918281381663E-2</v>
      </c>
    </row>
    <row r="163" spans="1:13">
      <c r="A163" s="34" t="s">
        <v>85</v>
      </c>
      <c r="B163" s="32" t="s">
        <v>49</v>
      </c>
      <c r="C163" t="s">
        <v>117</v>
      </c>
      <c r="D163">
        <v>2.0756115641215489E-2</v>
      </c>
      <c r="E163">
        <v>4.7945205479452024E-2</v>
      </c>
      <c r="I163" t="str">
        <v>https://www.insee.fr/fr/statistiques/serie/010765839</v>
      </c>
      <c r="J163" t="str">
        <v>010765839</v>
      </c>
      <c r="K163" t="str">
        <v>Tôles quarto et autres produits plats en aciers non alliés de qualité</v>
      </c>
      <c r="L163">
        <v>4.3370508054523027E-2</v>
      </c>
      <c r="M163">
        <v>-4.5351473922902508E-2</v>
      </c>
    </row>
    <row r="164" spans="1:13">
      <c r="A164" s="33" t="s">
        <v>279</v>
      </c>
      <c r="B164" s="32" t="s">
        <v>317</v>
      </c>
      <c r="C164" t="s">
        <v>316</v>
      </c>
      <c r="D164">
        <v>1.0282776349614275E-2</v>
      </c>
      <c r="E164">
        <v>2.8122956180510084E-2</v>
      </c>
      <c r="I164" t="str">
        <v>https://www.insee.fr/fr/statistiques/8682743</v>
      </c>
      <c r="J164">
        <v>8682743</v>
      </c>
      <c r="K164" t="str">
        <v>Travail</v>
      </c>
      <c r="L164">
        <v>3.2023289665211063E-2</v>
      </c>
      <c r="M164">
        <v>6.8575734740015326E-2</v>
      </c>
    </row>
    <row r="165" spans="1:13">
      <c r="A165" s="34" t="s">
        <v>86</v>
      </c>
      <c r="B165" s="32" t="s">
        <v>50</v>
      </c>
      <c r="C165" t="s">
        <v>118</v>
      </c>
      <c r="D165">
        <v>-1.1281070745697841E-2</v>
      </c>
      <c r="E165">
        <v>-7.1133465061972379E-2</v>
      </c>
      <c r="I165" t="str">
        <v>https://www.insee.fr/fr/statistiques/serie/010764101</v>
      </c>
      <c r="J165" t="str">
        <v>010764101</v>
      </c>
      <c r="K165" t="str">
        <v>Autres textiles</v>
      </c>
      <c r="L165">
        <v>3.0434782608695699E-2</v>
      </c>
      <c r="M165">
        <v>5.3333333333333233E-2</v>
      </c>
    </row>
    <row r="166" spans="1:13">
      <c r="A166" s="34" t="s">
        <v>87</v>
      </c>
      <c r="B166" s="32" t="s">
        <v>51</v>
      </c>
      <c r="C166" t="s">
        <v>119</v>
      </c>
      <c r="D166">
        <v>3.3670033670034627E-3</v>
      </c>
      <c r="E166">
        <v>1.1884550084889645E-2</v>
      </c>
      <c r="I166" t="str">
        <v>https://www.insee.fr/fr/statistiques/serie/010764116#Tableau</v>
      </c>
      <c r="J166" t="str">
        <v> 010764116</v>
      </c>
      <c r="K166" t="str">
        <v>Ensemble des produits du sciage</v>
      </c>
      <c r="L166">
        <v>2.6149684400360584E-2</v>
      </c>
      <c r="M166">
        <v>6.4546304957904477E-2</v>
      </c>
    </row>
    <row r="167" spans="1:13">
      <c r="A167" s="34" t="s">
        <v>88</v>
      </c>
      <c r="B167" s="32" t="s">
        <v>52</v>
      </c>
      <c r="C167" t="s">
        <v>120</v>
      </c>
      <c r="D167">
        <v>1.7813765182186359E-2</v>
      </c>
      <c r="E167">
        <v>1.3709677419354804E-2</v>
      </c>
      <c r="I167" t="str">
        <v>https://www.insee.fr/fr/statistiques/serie/010764180</v>
      </c>
      <c r="J167" t="str">
        <v>010764180</v>
      </c>
      <c r="K167" t="str">
        <v>Béton prêt à l'emploi</v>
      </c>
      <c r="L167">
        <v>2.3041474654377891E-2</v>
      </c>
      <c r="M167">
        <v>2.1472392638036686E-2</v>
      </c>
    </row>
    <row r="168" spans="1:13">
      <c r="A168" s="34" t="s">
        <v>280</v>
      </c>
      <c r="B168" s="187" t="s">
        <v>320</v>
      </c>
      <c r="C168" t="s">
        <v>121</v>
      </c>
      <c r="D168">
        <v>-9.113300492610843E-2</v>
      </c>
      <c r="E168">
        <v>-0.23523316062176169</v>
      </c>
      <c r="I168" t="str">
        <v>https://www.insee.fr/fr/statistiques/serie/001565195</v>
      </c>
      <c r="J168" t="str">
        <v>001565195</v>
      </c>
      <c r="K168" t="str">
        <v>Travail activités spécialisées</v>
      </c>
      <c r="L168">
        <v>2.0756115641215489E-2</v>
      </c>
      <c r="M168">
        <v>4.7945205479452024E-2</v>
      </c>
    </row>
    <row r="169" spans="1:13">
      <c r="A169" s="159" t="s">
        <v>281</v>
      </c>
      <c r="B169" s="187" t="s">
        <v>321</v>
      </c>
      <c r="C169" t="s">
        <v>263</v>
      </c>
      <c r="D169">
        <v>-0.29086115992970119</v>
      </c>
      <c r="E169">
        <v>0.17126269956458628</v>
      </c>
      <c r="I169" t="str">
        <v>https://www.insee.fr/fr/statistiques/serie/010764176</v>
      </c>
      <c r="J169" t="str">
        <v>010764176</v>
      </c>
      <c r="K169" t="str">
        <v>Ciment, chaux et plâtre</v>
      </c>
      <c r="L169">
        <v>1.9822282980177519E-2</v>
      </c>
      <c r="M169">
        <v>3.2525951557093258E-2</v>
      </c>
    </row>
    <row r="170" spans="1:13" ht="30">
      <c r="A170" s="34" t="s">
        <v>90</v>
      </c>
      <c r="B170" s="32" t="s">
        <v>55</v>
      </c>
      <c r="C170" t="s">
        <v>55</v>
      </c>
      <c r="D170">
        <v>-1.8689960051602728E-2</v>
      </c>
      <c r="E170">
        <v>-0.12498608792431809</v>
      </c>
      <c r="I170" t="str">
        <v>https://www.insee.fr/fr/statistiques/serie/001711943</v>
      </c>
      <c r="J170" t="str">
        <v>001711943</v>
      </c>
      <c r="K170" t="str">
        <v>Transports routiers</v>
      </c>
      <c r="L170">
        <v>1.7813765182186359E-2</v>
      </c>
      <c r="M170">
        <v>1.3709677419354804E-2</v>
      </c>
    </row>
    <row r="171" spans="1:13">
      <c r="A171" s="34" t="s">
        <v>282</v>
      </c>
      <c r="B171" s="32" t="s">
        <v>322</v>
      </c>
      <c r="C171" t="s">
        <v>122</v>
      </c>
      <c r="D171">
        <v>-9.8814229249022389E-4</v>
      </c>
      <c r="E171">
        <v>-6.1281337047353834E-2</v>
      </c>
      <c r="I171" t="str">
        <v>https://www.insee.fr/fr/statistiques/serie/010764301</v>
      </c>
      <c r="J171" t="str">
        <v>010764301</v>
      </c>
      <c r="K171" t="str">
        <v>Collecte, traitement et élimination des déchets ; récupération de matériaux</v>
      </c>
      <c r="L171">
        <v>1.642335766423364E-2</v>
      </c>
      <c r="M171">
        <v>3.2437442075996303E-2</v>
      </c>
    </row>
    <row r="172" spans="1:13">
      <c r="A172" s="34" t="s">
        <v>284</v>
      </c>
      <c r="B172" s="187" t="s">
        <v>283</v>
      </c>
      <c r="C172" t="s">
        <v>123</v>
      </c>
      <c r="D172">
        <v>2.6149684400360584E-2</v>
      </c>
      <c r="E172">
        <v>6.4546304957904477E-2</v>
      </c>
      <c r="I172" t="str">
        <v>https://www.insee.fr/fr/statistiques/serie/010765500</v>
      </c>
      <c r="J172" t="str">
        <v>010765500</v>
      </c>
      <c r="K172" t="str">
        <v>Sables et granulats</v>
      </c>
      <c r="L172">
        <v>1.3710368466152589E-2</v>
      </c>
      <c r="M172">
        <v>8.4602368866315558E-4</v>
      </c>
    </row>
    <row r="173" spans="1:13">
      <c r="A173" s="34" t="s">
        <v>285</v>
      </c>
      <c r="B173" s="187" t="s">
        <v>323</v>
      </c>
      <c r="C173" t="s">
        <v>124</v>
      </c>
      <c r="D173">
        <v>2.3041474654377891E-2</v>
      </c>
      <c r="E173">
        <v>2.1472392638036686E-2</v>
      </c>
      <c r="I173" t="str">
        <v>https://www.insee.fr/fr/statistiques/serie/010764179</v>
      </c>
      <c r="J173" t="str">
        <v>010764179</v>
      </c>
      <c r="K173" t="str">
        <v>Éléments en béton pour la construction</v>
      </c>
      <c r="L173">
        <v>1.0961214165261524E-2</v>
      </c>
      <c r="M173">
        <v>-1.882160392798693E-2</v>
      </c>
    </row>
    <row r="174" spans="1:13">
      <c r="A174" s="34" t="s">
        <v>286</v>
      </c>
      <c r="B174" s="187" t="s">
        <v>324</v>
      </c>
      <c r="C174" t="s">
        <v>125</v>
      </c>
      <c r="D174">
        <v>-1.6000000000000014E-2</v>
      </c>
      <c r="E174">
        <v>-5.5921052631579093E-2</v>
      </c>
      <c r="I174" t="str">
        <v>https://www.insee.fr/fr/statistiques/serie/010777519</v>
      </c>
      <c r="J174" t="str">
        <v>010777519</v>
      </c>
      <c r="K174" t="str">
        <v>GNR pour les Travaux Publics</v>
      </c>
      <c r="L174">
        <v>1.0282776349614275E-2</v>
      </c>
      <c r="M174">
        <v>2.8122956180510084E-2</v>
      </c>
    </row>
    <row r="175" spans="1:13">
      <c r="A175" s="34" t="s">
        <v>287</v>
      </c>
      <c r="B175" s="196" t="s">
        <v>319</v>
      </c>
      <c r="C175" t="s">
        <v>126</v>
      </c>
      <c r="D175">
        <v>1.3710368466152589E-2</v>
      </c>
      <c r="E175">
        <v>8.4602368866315558E-4</v>
      </c>
      <c r="I175" t="str">
        <v>https://www.insee.fr/fr/statistiques/serie/001711009</v>
      </c>
      <c r="J175" t="str">
        <v>001711009</v>
      </c>
      <c r="K175" t="str">
        <v>Matériel</v>
      </c>
      <c r="L175">
        <v>6.4102564102563875E-3</v>
      </c>
      <c r="M175">
        <v>1.208702659145855E-2</v>
      </c>
    </row>
    <row r="176" spans="1:13">
      <c r="A176" s="34" t="s">
        <v>288</v>
      </c>
      <c r="B176" s="32" t="s">
        <v>325</v>
      </c>
      <c r="C176" t="s">
        <v>127</v>
      </c>
      <c r="D176">
        <v>-3.2649253731343308E-2</v>
      </c>
      <c r="E176">
        <v>-3.2649253731343308E-2</v>
      </c>
      <c r="I176" t="str">
        <v>https://www.insee.fr/fr/statistiques/serie/010763881</v>
      </c>
      <c r="J176" t="str">
        <v>010763881</v>
      </c>
      <c r="K176" t="str">
        <v>Produits sidérurgiques en acier non allié</v>
      </c>
      <c r="L176">
        <v>6.382978723404209E-3</v>
      </c>
      <c r="M176">
        <v>-4.2510121457489891E-2</v>
      </c>
    </row>
    <row r="177" spans="1:13">
      <c r="A177" s="34" t="s">
        <v>289</v>
      </c>
      <c r="B177" s="32" t="s">
        <v>326</v>
      </c>
      <c r="C177" t="s">
        <v>128</v>
      </c>
      <c r="D177">
        <v>1.9822282980177519E-2</v>
      </c>
      <c r="E177">
        <v>3.2525951557093258E-2</v>
      </c>
      <c r="I177" t="str">
        <v>https://www.insee.fr/fr/statistiques/serie/010764195</v>
      </c>
      <c r="J177" t="str">
        <v>010764195</v>
      </c>
      <c r="K177" t="str">
        <v>Travaux de fonderie de fonte</v>
      </c>
      <c r="L177">
        <v>3.8850038850037905E-3</v>
      </c>
      <c r="M177">
        <v>7.7459333849727585E-4</v>
      </c>
    </row>
    <row r="178" spans="1:13">
      <c r="A178" s="34" t="s">
        <v>290</v>
      </c>
      <c r="B178" s="32" t="s">
        <v>327</v>
      </c>
      <c r="C178" t="s">
        <v>258</v>
      </c>
      <c r="D178">
        <v>-4.8305084745762783E-2</v>
      </c>
      <c r="E178">
        <v>3.5977859778597798E-2</v>
      </c>
      <c r="I178" t="str">
        <v>https://www.insee.fr/fr/statistiques/serie/001711011</v>
      </c>
      <c r="J178" t="str">
        <v>001711011</v>
      </c>
      <c r="K178" t="str">
        <v>Frais divers</v>
      </c>
      <c r="L178">
        <v>3.3670033670034627E-3</v>
      </c>
      <c r="M178">
        <v>1.1884550084889645E-2</v>
      </c>
    </row>
    <row r="179" spans="1:13">
      <c r="A179" s="34" t="s">
        <v>291</v>
      </c>
      <c r="B179" s="32" t="s">
        <v>328</v>
      </c>
      <c r="C179" t="s">
        <v>129</v>
      </c>
      <c r="D179">
        <v>-1.7543859649122862E-2</v>
      </c>
      <c r="E179">
        <v>-6.079664570230614E-2</v>
      </c>
      <c r="I179" t="str">
        <v>https://www.insee.fr/fr/statistiques/serie/010763871</v>
      </c>
      <c r="J179" t="str">
        <v>010763871</v>
      </c>
      <c r="K179" t="str">
        <v>Produits de voierie en béton</v>
      </c>
      <c r="L179">
        <v>2.3400936037443199E-3</v>
      </c>
      <c r="M179">
        <v>3.2958199356913243E-2</v>
      </c>
    </row>
    <row r="180" spans="1:13">
      <c r="A180" s="34" t="s">
        <v>292</v>
      </c>
      <c r="B180" s="32" t="s">
        <v>329</v>
      </c>
      <c r="C180" t="s">
        <v>130</v>
      </c>
      <c r="D180">
        <v>-0.22213622291021662</v>
      </c>
      <c r="E180">
        <v>-0.10587188612099652</v>
      </c>
      <c r="I180" t="str">
        <v>https://www.insee.fr/fr/statistiques/serie/010764306</v>
      </c>
      <c r="J180" t="str">
        <v>010764306</v>
      </c>
      <c r="K180" t="str">
        <v>Traitement et élimination des déchets non dangereux</v>
      </c>
      <c r="L180">
        <v>1.6906170752324368E-3</v>
      </c>
      <c r="M180">
        <v>2.2433132010353685E-2</v>
      </c>
    </row>
    <row r="181" spans="1:13">
      <c r="A181" s="34" t="s">
        <v>293</v>
      </c>
      <c r="B181" s="32" t="s">
        <v>330</v>
      </c>
      <c r="C181" t="s">
        <v>131</v>
      </c>
      <c r="D181">
        <v>2.3400936037443199E-3</v>
      </c>
      <c r="E181">
        <v>3.2958199356913243E-2</v>
      </c>
      <c r="I181" t="str">
        <v>https://www.insee.fr/fr/statistiques/serie/010763845</v>
      </c>
      <c r="J181" t="str">
        <v>010763845</v>
      </c>
      <c r="K181" t="str">
        <v>Tubes, tuyaux en matière plastique</v>
      </c>
      <c r="L181">
        <v>-9.8814229249022389E-4</v>
      </c>
      <c r="M181">
        <v>-6.1281337047353834E-2</v>
      </c>
    </row>
    <row r="182" spans="1:13">
      <c r="A182" s="34" t="s">
        <v>294</v>
      </c>
      <c r="B182" s="32" t="s">
        <v>331</v>
      </c>
      <c r="C182" t="s">
        <v>132</v>
      </c>
      <c r="D182">
        <v>-1.8916595012897663E-2</v>
      </c>
      <c r="E182">
        <v>-2.227934875749793E-2</v>
      </c>
      <c r="I182" t="str">
        <v>https://www.insee.fr/fr/statistiques/serie/010766292</v>
      </c>
      <c r="J182" t="str">
        <v>010766292</v>
      </c>
      <c r="K182" t="str">
        <v>Réseaux d’assainissement</v>
      </c>
      <c r="L182">
        <v>-2.3400936037439868E-3</v>
      </c>
      <c r="M182">
        <v>1.0268562401263948E-2</v>
      </c>
    </row>
    <row r="183" spans="1:13">
      <c r="A183" s="34" t="s">
        <v>295</v>
      </c>
      <c r="B183" s="32" t="s">
        <v>332</v>
      </c>
      <c r="C183" t="s">
        <v>133</v>
      </c>
      <c r="D183">
        <v>3.8850038850037905E-3</v>
      </c>
      <c r="E183">
        <v>7.7459333849727585E-4</v>
      </c>
      <c r="I183" t="str">
        <v>https://www.insee.fr/fr/statistiques/serie/010763930</v>
      </c>
      <c r="J183" t="str">
        <v>010763930</v>
      </c>
      <c r="K183" t="str">
        <v>Fils et câbles d'énergie</v>
      </c>
      <c r="L183">
        <v>-9.471191791633804E-3</v>
      </c>
      <c r="M183">
        <v>7.9105760963026572E-2</v>
      </c>
    </row>
    <row r="184" spans="1:13">
      <c r="A184" s="34" t="s">
        <v>296</v>
      </c>
      <c r="B184" s="32" t="s">
        <v>333</v>
      </c>
      <c r="C184" t="s">
        <v>134</v>
      </c>
      <c r="D184">
        <v>-1.074498567335247E-2</v>
      </c>
      <c r="E184">
        <v>-3.6075036075036149E-3</v>
      </c>
      <c r="I184" t="str">
        <v>https://www.insee.fr/fr/statistiques/serie/010764172</v>
      </c>
      <c r="J184" t="str">
        <v>010764172</v>
      </c>
      <c r="K184" t="str">
        <v>Tuiles, briques et produits de construction en terre cuite</v>
      </c>
      <c r="L184">
        <v>-1.074498567335247E-2</v>
      </c>
      <c r="M184">
        <v>-3.6075036075036149E-3</v>
      </c>
    </row>
    <row r="185" spans="1:13">
      <c r="A185" s="34" t="s">
        <v>297</v>
      </c>
      <c r="B185" s="32" t="s">
        <v>334</v>
      </c>
      <c r="C185" t="s">
        <v>266</v>
      </c>
      <c r="D185">
        <v>-2.3400936037439868E-3</v>
      </c>
      <c r="E185">
        <v>1.0268562401263948E-2</v>
      </c>
      <c r="I185" t="str">
        <v>https://www.insee.fr/fr/statistiques/serie/001764283</v>
      </c>
      <c r="J185" t="str">
        <v>001764283</v>
      </c>
      <c r="K185" t="str">
        <v>Gazole</v>
      </c>
      <c r="L185">
        <v>-1.1281070745697841E-2</v>
      </c>
      <c r="M185">
        <v>-7.1133465061972379E-2</v>
      </c>
    </row>
    <row r="186" spans="1:13">
      <c r="A186" s="34" t="s">
        <v>298</v>
      </c>
      <c r="B186" s="32" t="s">
        <v>335</v>
      </c>
      <c r="C186" t="s">
        <v>261</v>
      </c>
      <c r="D186">
        <v>3.0434782608695699E-2</v>
      </c>
      <c r="E186">
        <v>5.3333333333333233E-2</v>
      </c>
      <c r="I186" t="str">
        <v>https://www.insee.fr/fr/statistiques/serie/010766236</v>
      </c>
      <c r="J186" t="str">
        <v>010766236</v>
      </c>
      <c r="K186" t="str">
        <v>Barres crénelées ou nervurées pour béton armé</v>
      </c>
      <c r="L186">
        <v>-1.6000000000000014E-2</v>
      </c>
      <c r="M186">
        <v>-5.5921052631579093E-2</v>
      </c>
    </row>
    <row r="187" spans="1:13">
      <c r="A187" s="34" t="s">
        <v>299</v>
      </c>
      <c r="B187" s="32" t="s">
        <v>336</v>
      </c>
      <c r="C187" t="s">
        <v>135</v>
      </c>
      <c r="D187">
        <v>-0.10782241014799143</v>
      </c>
      <c r="E187">
        <v>-9.7326203208556117E-2</v>
      </c>
      <c r="I187" t="str">
        <v>https://www.insee.fr/fr/statistiques/serie/010765837</v>
      </c>
      <c r="J187" t="str">
        <v>010765837</v>
      </c>
      <c r="K187" t="str">
        <v>Acier pour la construction</v>
      </c>
      <c r="L187">
        <v>-1.7543859649122862E-2</v>
      </c>
      <c r="M187">
        <v>-6.079664570230614E-2</v>
      </c>
    </row>
    <row r="188" spans="1:13">
      <c r="A188" s="34" t="s">
        <v>300</v>
      </c>
      <c r="B188" s="32" t="s">
        <v>337</v>
      </c>
      <c r="C188" t="s">
        <v>136</v>
      </c>
      <c r="D188">
        <v>-2.1612635078969156E-2</v>
      </c>
      <c r="E188">
        <v>-5.915267785771372E-2</v>
      </c>
      <c r="I188" t="str">
        <v>https://www.fntp.fr/sites/default/files/content/indice_gazole_htt.pdf</v>
      </c>
      <c r="J188" t="str">
        <v>Gazole routier HTT</v>
      </c>
      <c r="K188" t="str">
        <v>Gazole routier HTT</v>
      </c>
      <c r="L188">
        <v>-1.8689960051602728E-2</v>
      </c>
      <c r="M188">
        <v>-0.12498608792431809</v>
      </c>
    </row>
    <row r="189" spans="1:13">
      <c r="A189" s="34" t="s">
        <v>301</v>
      </c>
      <c r="B189" s="32" t="s">
        <v>338</v>
      </c>
      <c r="C189" t="s">
        <v>137</v>
      </c>
      <c r="D189">
        <v>1.0961214165261524E-2</v>
      </c>
      <c r="E189">
        <v>-1.882160392798693E-2</v>
      </c>
      <c r="I189" t="str">
        <v>https://www.insee.fr/fr/statistiques/serie/010764181</v>
      </c>
      <c r="J189" t="str">
        <v>010764181</v>
      </c>
      <c r="K189" t="str">
        <v>Mortiers et bétons secs</v>
      </c>
      <c r="L189">
        <v>-1.8916595012897663E-2</v>
      </c>
      <c r="M189">
        <v>-2.227934875749793E-2</v>
      </c>
    </row>
    <row r="190" spans="1:13">
      <c r="A190" s="34" t="s">
        <v>302</v>
      </c>
      <c r="B190" s="32" t="s">
        <v>339</v>
      </c>
      <c r="C190" t="s">
        <v>138</v>
      </c>
      <c r="D190">
        <v>-9.471191791633804E-3</v>
      </c>
      <c r="E190">
        <v>7.9105760963026572E-2</v>
      </c>
      <c r="I190" t="str">
        <v>https://www.insee.fr/fr/statistiques/serie/010764187</v>
      </c>
      <c r="J190" t="str">
        <v>010764187</v>
      </c>
      <c r="K190" t="str">
        <v>Tubes, tuyaux, profilés creux et accessoires correspondants en acier</v>
      </c>
      <c r="L190">
        <v>-2.1612635078969156E-2</v>
      </c>
      <c r="M190">
        <v>-5.915267785771372E-2</v>
      </c>
    </row>
    <row r="191" spans="1:13">
      <c r="A191" s="34" t="s">
        <v>303</v>
      </c>
      <c r="B191" s="32" t="s">
        <v>340</v>
      </c>
      <c r="C191" t="s">
        <v>139</v>
      </c>
      <c r="D191">
        <v>0.10643776824034346</v>
      </c>
      <c r="E191">
        <v>8.5930918281381663E-2</v>
      </c>
      <c r="I191" t="str">
        <v>https://www.insee.fr/fr/statistiques/serie/010764228</v>
      </c>
      <c r="J191" t="str">
        <v>010764228</v>
      </c>
      <c r="K191" t="str">
        <v>Appareils d'éclairage électrique</v>
      </c>
      <c r="L191">
        <v>-2.2471910112359494E-2</v>
      </c>
      <c r="M191">
        <v>-3.9558417663293488E-2</v>
      </c>
    </row>
    <row r="192" spans="1:13">
      <c r="A192" s="34" t="s">
        <v>304</v>
      </c>
      <c r="B192" s="32" t="s">
        <v>341</v>
      </c>
      <c r="C192" t="s">
        <v>140</v>
      </c>
      <c r="D192">
        <v>0.17223650385604117</v>
      </c>
      <c r="E192">
        <v>0.12315270935960609</v>
      </c>
      <c r="I192" t="str">
        <v>https://www.insee.fr/fr/statistiques/serie/010764160</v>
      </c>
      <c r="J192" t="str">
        <v>010764160</v>
      </c>
      <c r="K192" t="str">
        <v>Plaques, feuilles, tubes et profilés en matières plastiques</v>
      </c>
      <c r="L192">
        <v>-3.2649253731343308E-2</v>
      </c>
      <c r="M192">
        <v>-3.2649253731343308E-2</v>
      </c>
    </row>
    <row r="193" spans="1:42">
      <c r="A193" s="34" t="s">
        <v>318</v>
      </c>
      <c r="B193" s="32" t="s">
        <v>342</v>
      </c>
      <c r="C193" t="s">
        <v>141</v>
      </c>
      <c r="D193">
        <v>-2.2471910112359494E-2</v>
      </c>
      <c r="E193">
        <v>-3.9558417663293488E-2</v>
      </c>
      <c r="I193" t="str">
        <v>https://www.insee.fr/fr/statistiques/serie/010763825</v>
      </c>
      <c r="J193" t="str">
        <v>010763825</v>
      </c>
      <c r="K193" t="str">
        <v>Peintures Industries</v>
      </c>
      <c r="L193">
        <v>-3.3973412112259904E-2</v>
      </c>
      <c r="M193">
        <v>-4.8727272727272619E-2</v>
      </c>
    </row>
    <row r="194" spans="1:42">
      <c r="A194" s="34" t="s">
        <v>305</v>
      </c>
      <c r="B194" s="32" t="s">
        <v>343</v>
      </c>
      <c r="C194" t="s">
        <v>142</v>
      </c>
      <c r="D194">
        <v>-5.2752293577981724E-2</v>
      </c>
      <c r="E194">
        <v>-0.17564870259481047</v>
      </c>
      <c r="I194" t="str">
        <v>https://www.insee.fr/fr/statistiques/serie/010764149</v>
      </c>
      <c r="J194" t="str">
        <v>010764149</v>
      </c>
      <c r="K194" t="str">
        <v>Autres produits chimiques</v>
      </c>
      <c r="L194">
        <v>-4.8305084745762783E-2</v>
      </c>
      <c r="M194">
        <v>3.5977859778597798E-2</v>
      </c>
    </row>
    <row r="195" spans="1:42">
      <c r="A195" s="34" t="s">
        <v>306</v>
      </c>
      <c r="B195" s="32" t="s">
        <v>344</v>
      </c>
      <c r="C195" t="s">
        <v>143</v>
      </c>
      <c r="D195">
        <v>-3.3973412112259904E-2</v>
      </c>
      <c r="E195">
        <v>-4.8727272727272619E-2</v>
      </c>
      <c r="I195" t="str">
        <v>https://www.insee.fr/fr/statistiques/serie/010764834</v>
      </c>
      <c r="J195" t="str">
        <v>010764834</v>
      </c>
      <c r="K195" t="str">
        <v>Câbles de fibres optiques</v>
      </c>
      <c r="L195">
        <v>-5.2752293577981724E-2</v>
      </c>
      <c r="M195">
        <v>-0.17564870259481047</v>
      </c>
    </row>
    <row r="196" spans="1:42">
      <c r="A196" s="34" t="s">
        <v>307</v>
      </c>
      <c r="B196" s="32" t="s">
        <v>345</v>
      </c>
      <c r="C196" t="s">
        <v>144</v>
      </c>
      <c r="D196">
        <v>6.382978723404209E-3</v>
      </c>
      <c r="E196">
        <v>-4.2510121457489891E-2</v>
      </c>
      <c r="I196" t="str">
        <v>https://www.insee.fr/fr/statistiques/serie/010764291</v>
      </c>
      <c r="J196" t="str">
        <v>010764291</v>
      </c>
      <c r="K196" t="str">
        <v>Électricité vendue aux entreprises consommatrices finales</v>
      </c>
      <c r="L196">
        <v>-9.113300492610843E-2</v>
      </c>
      <c r="M196">
        <v>-0.23523316062176169</v>
      </c>
    </row>
    <row r="197" spans="1:42">
      <c r="A197" s="34" t="s">
        <v>308</v>
      </c>
      <c r="B197" s="32" t="s">
        <v>346</v>
      </c>
      <c r="C197" t="s">
        <v>145</v>
      </c>
      <c r="D197">
        <v>4.3370508054523027E-2</v>
      </c>
      <c r="E197">
        <v>-4.5351473922902508E-2</v>
      </c>
      <c r="I197" t="str">
        <v>https://www.insee.fr/fr/statistiques/serie/010764143</v>
      </c>
      <c r="J197" t="str">
        <v>010764143</v>
      </c>
      <c r="K197" t="str">
        <v>Matières plastiques sous formes primaires</v>
      </c>
      <c r="L197">
        <v>-0.10782241014799143</v>
      </c>
      <c r="M197">
        <v>-9.7326203208556117E-2</v>
      </c>
    </row>
    <row r="198" spans="1:42">
      <c r="A198" s="34" t="s">
        <v>309</v>
      </c>
      <c r="B198" s="32" t="s">
        <v>347</v>
      </c>
      <c r="C198" t="s">
        <v>148</v>
      </c>
      <c r="D198">
        <v>1.6906170752324368E-3</v>
      </c>
      <c r="E198">
        <v>2.2433132010353685E-2</v>
      </c>
      <c r="I198" t="str">
        <v>https://www.insee.fr/fr/statistiques/serie/010764136</v>
      </c>
      <c r="J198" t="str">
        <v>010764136</v>
      </c>
      <c r="K198" t="str">
        <v>Bitume</v>
      </c>
      <c r="L198">
        <v>-0.22213622291021662</v>
      </c>
      <c r="M198">
        <v>-0.10587188612099652</v>
      </c>
    </row>
    <row r="199" spans="1:42">
      <c r="A199" s="34" t="s">
        <v>310</v>
      </c>
      <c r="B199" s="32" t="s">
        <v>348</v>
      </c>
      <c r="C199" t="s">
        <v>149</v>
      </c>
      <c r="D199">
        <v>1.642335766423364E-2</v>
      </c>
      <c r="E199">
        <v>3.2437442075996303E-2</v>
      </c>
      <c r="I199" t="str">
        <v>https://www.insee.fr/fr/statistiques/serie/010764297</v>
      </c>
      <c r="J199" t="str">
        <v>010764297</v>
      </c>
      <c r="K199" t="str">
        <v>Gaz naturel</v>
      </c>
      <c r="L199">
        <v>-0.29086115992970119</v>
      </c>
      <c r="M199">
        <v>0.17126269956458628</v>
      </c>
    </row>
    <row r="204" spans="1:42">
      <c r="C204" t="str">
        <f>'A MODIFIER'!E15</f>
        <v>*/février 2025</v>
      </c>
      <c r="D204">
        <f>('CUMULS INDICES'!B116/'CUMULS INDICES'!B131)-1</f>
        <v>6.4102564102563875E-3</v>
      </c>
      <c r="E204">
        <f>('CUMULS INDICES'!C116/'CUMULS INDICES'!C131)-1</f>
        <v>3.2023289665211063E-2</v>
      </c>
      <c r="F204">
        <f>('CUMULS INDICES'!D116/'CUMULS INDICES'!D131)-1</f>
        <v>2.0756115641215489E-2</v>
      </c>
      <c r="G204">
        <f>('CUMULS INDICES'!E116/'CUMULS INDICES'!E131)-1</f>
        <v>1.0282776349614275E-2</v>
      </c>
      <c r="H204">
        <f>('CUMULS INDICES'!F116/'CUMULS INDICES'!F131)-1</f>
        <v>-1.1281070745697841E-2</v>
      </c>
      <c r="I204">
        <f>('CUMULS INDICES'!G116/'CUMULS INDICES'!G131)-1</f>
        <v>3.3670033670034627E-3</v>
      </c>
      <c r="J204">
        <f>('CUMULS INDICES'!H116/'CUMULS INDICES'!H131)-1</f>
        <v>1.7813765182186359E-2</v>
      </c>
      <c r="K204">
        <f>('CUMULS INDICES'!I116/'CUMULS INDICES'!I131)-1</f>
        <v>-9.113300492610843E-2</v>
      </c>
      <c r="L204">
        <f>('CUMULS INDICES'!J116/'CUMULS INDICES'!J131)-1</f>
        <v>-0.29086115992970119</v>
      </c>
      <c r="M204">
        <f>('CUMULS INDICES'!K116/'CUMULS INDICES'!K131)-1</f>
        <v>-1.8689960051602728E-2</v>
      </c>
      <c r="N204">
        <f>('CUMULS INDICES'!L116/'CUMULS INDICES'!L131)-1</f>
        <v>-9.8814229249022389E-4</v>
      </c>
      <c r="O204">
        <f>('CUMULS INDICES'!M116/'CUMULS INDICES'!M131)-1</f>
        <v>2.6149684400360584E-2</v>
      </c>
      <c r="P204">
        <f>('CUMULS INDICES'!N116/'CUMULS INDICES'!N131)-1</f>
        <v>2.3041474654377891E-2</v>
      </c>
      <c r="Q204">
        <f>('CUMULS INDICES'!O116/'CUMULS INDICES'!O131)-1</f>
        <v>-1.6000000000000014E-2</v>
      </c>
      <c r="R204">
        <f>('CUMULS INDICES'!P116/'CUMULS INDICES'!P131)-1</f>
        <v>1.3710368466152589E-2</v>
      </c>
      <c r="S204">
        <f>('CUMULS INDICES'!Q116/'CUMULS INDICES'!Q131)-1</f>
        <v>-3.2649253731343308E-2</v>
      </c>
      <c r="T204">
        <f>('CUMULS INDICES'!R116/'CUMULS INDICES'!R131)-1</f>
        <v>1.9822282980177519E-2</v>
      </c>
      <c r="U204">
        <f>('CUMULS INDICES'!S116/'CUMULS INDICES'!S131)-1</f>
        <v>-4.8305084745762783E-2</v>
      </c>
      <c r="V204">
        <f>('CUMULS INDICES'!T116/'CUMULS INDICES'!T131)-1</f>
        <v>-1.7543859649122862E-2</v>
      </c>
      <c r="W204">
        <f>('CUMULS INDICES'!U116/'CUMULS INDICES'!U131)-1</f>
        <v>-0.22213622291021662</v>
      </c>
      <c r="X204">
        <f>('CUMULS INDICES'!V116/'CUMULS INDICES'!V131)-1</f>
        <v>2.3400936037443199E-3</v>
      </c>
      <c r="Y204">
        <f>('CUMULS INDICES'!W116/'CUMULS INDICES'!W131)-1</f>
        <v>-1.8916595012897663E-2</v>
      </c>
      <c r="Z204">
        <f>('CUMULS INDICES'!X116/'CUMULS INDICES'!X131)-1</f>
        <v>3.8850038850037905E-3</v>
      </c>
      <c r="AA204">
        <f>('CUMULS INDICES'!Y116/'CUMULS INDICES'!Y131)-1</f>
        <v>-1.074498567335247E-2</v>
      </c>
      <c r="AB204">
        <f>('CUMULS INDICES'!Z116/'CUMULS INDICES'!Z131)-1</f>
        <v>-2.3400936037439868E-3</v>
      </c>
      <c r="AC204">
        <f>('CUMULS INDICES'!AA116/'CUMULS INDICES'!AA131)-1</f>
        <v>3.0434782608695699E-2</v>
      </c>
      <c r="AD204">
        <f>('CUMULS INDICES'!AB116/'CUMULS INDICES'!AB131)-1</f>
        <v>-0.10782241014799143</v>
      </c>
      <c r="AE204">
        <f>('CUMULS INDICES'!AC116/'CUMULS INDICES'!AC131)-1</f>
        <v>-2.1612635078969156E-2</v>
      </c>
      <c r="AF204">
        <f>('CUMULS INDICES'!AD116/'CUMULS INDICES'!AD131)-1</f>
        <v>1.0961214165261524E-2</v>
      </c>
      <c r="AG204">
        <f>('CUMULS INDICES'!AE116/'CUMULS INDICES'!AE131)-1</f>
        <v>-9.471191791633804E-3</v>
      </c>
      <c r="AH204">
        <f>('CUMULS INDICES'!AF116/'CUMULS INDICES'!AF131)-1</f>
        <v>0.10643776824034346</v>
      </c>
      <c r="AI204">
        <f>('CUMULS INDICES'!AG116/'CUMULS INDICES'!AG131)-1</f>
        <v>0.17223650385604117</v>
      </c>
      <c r="AJ204">
        <f>('CUMULS INDICES'!AH116/'CUMULS INDICES'!AH131)-1</f>
        <v>-2.2471910112359494E-2</v>
      </c>
      <c r="AK204">
        <f>('CUMULS INDICES'!AI116/'CUMULS INDICES'!AI131)-1</f>
        <v>-5.2752293577981724E-2</v>
      </c>
      <c r="AL204">
        <f>('CUMULS INDICES'!AJ116/'CUMULS INDICES'!AJ131)-1</f>
        <v>-3.3973412112259904E-2</v>
      </c>
      <c r="AM204">
        <f>('CUMULS INDICES'!AK116/'CUMULS INDICES'!AK131)-1</f>
        <v>6.382978723404209E-3</v>
      </c>
      <c r="AN204">
        <f>('CUMULS INDICES'!AL116/'CUMULS INDICES'!AL131)-1</f>
        <v>4.3370508054523027E-2</v>
      </c>
      <c r="AO204">
        <f>('CUMULS INDICES'!AM116/'CUMULS INDICES'!AM131)-1</f>
        <v>1.6906170752324368E-3</v>
      </c>
      <c r="AP204">
        <f>('CUMULS INDICES'!AN116/'CUMULS INDICES'!AN131)-1</f>
        <v>1.642335766423364E-2</v>
      </c>
    </row>
    <row r="205" spans="1:42">
      <c r="C205" t="str">
        <f>'A MODIFIER'!E16</f>
        <v>*/février 2024</v>
      </c>
      <c r="D205">
        <f>('CUMULS INDICES'!B116/'CUMULS INDICES'!B146)-1</f>
        <v>1.208702659145855E-2</v>
      </c>
      <c r="E205">
        <f>('CUMULS INDICES'!C116/'CUMULS INDICES'!C146)-1</f>
        <v>6.8575734740015326E-2</v>
      </c>
      <c r="F205">
        <f>('CUMULS INDICES'!D116/'CUMULS INDICES'!D146)-1</f>
        <v>4.7945205479452024E-2</v>
      </c>
      <c r="G205">
        <f>('CUMULS INDICES'!E116/'CUMULS INDICES'!E146)-1</f>
        <v>2.8122956180510084E-2</v>
      </c>
      <c r="H205">
        <f>('CUMULS INDICES'!F116/'CUMULS INDICES'!F146)-1</f>
        <v>-7.1133465061972379E-2</v>
      </c>
      <c r="I205">
        <f>('CUMULS INDICES'!G116/'CUMULS INDICES'!G146)-1</f>
        <v>1.1884550084889645E-2</v>
      </c>
      <c r="J205">
        <f>('CUMULS INDICES'!H116/'CUMULS INDICES'!H146)-1</f>
        <v>1.3709677419354804E-2</v>
      </c>
      <c r="K205">
        <f>('CUMULS INDICES'!I116/'CUMULS INDICES'!I146)-1</f>
        <v>-0.23523316062176169</v>
      </c>
      <c r="L205">
        <f>('CUMULS INDICES'!J116/'CUMULS INDICES'!J146)-1</f>
        <v>0.17126269956458628</v>
      </c>
      <c r="M205">
        <f>('CUMULS INDICES'!K116/'CUMULS INDICES'!K146)-1</f>
        <v>-0.12498608792431809</v>
      </c>
      <c r="N205">
        <f>('CUMULS INDICES'!L116/'CUMULS INDICES'!L146)-1</f>
        <v>-6.1281337047353834E-2</v>
      </c>
      <c r="O205">
        <f>('CUMULS INDICES'!M116/'CUMULS INDICES'!M146)-1</f>
        <v>6.4546304957904477E-2</v>
      </c>
      <c r="P205">
        <f>('CUMULS INDICES'!N116/'CUMULS INDICES'!N146)-1</f>
        <v>2.1472392638036686E-2</v>
      </c>
      <c r="Q205">
        <f>('CUMULS INDICES'!O116/'CUMULS INDICES'!O146)-1</f>
        <v>-5.5921052631579093E-2</v>
      </c>
      <c r="R205">
        <f>('CUMULS INDICES'!P116/'CUMULS INDICES'!P146)-1</f>
        <v>8.4602368866315558E-4</v>
      </c>
      <c r="S205">
        <f>('CUMULS INDICES'!Q116/'CUMULS INDICES'!Q146)-1</f>
        <v>-3.2649253731343308E-2</v>
      </c>
      <c r="T205">
        <f>('CUMULS INDICES'!R116/'CUMULS INDICES'!R146)-1</f>
        <v>3.2525951557093258E-2</v>
      </c>
      <c r="U205">
        <f>('CUMULS INDICES'!S116/'CUMULS INDICES'!S146)-1</f>
        <v>3.5977859778597798E-2</v>
      </c>
      <c r="V205">
        <f>('CUMULS INDICES'!T116/'CUMULS INDICES'!T146)-1</f>
        <v>-6.079664570230614E-2</v>
      </c>
      <c r="W205">
        <f>('CUMULS INDICES'!U116/'CUMULS INDICES'!U146)-1</f>
        <v>-0.10587188612099652</v>
      </c>
      <c r="X205">
        <f>('CUMULS INDICES'!V116/'CUMULS INDICES'!V146)-1</f>
        <v>3.2958199356913243E-2</v>
      </c>
      <c r="Y205">
        <f>('CUMULS INDICES'!W116/'CUMULS INDICES'!W146)-1</f>
        <v>-2.227934875749793E-2</v>
      </c>
      <c r="Z205">
        <f>('CUMULS INDICES'!X116/'CUMULS INDICES'!X146)-1</f>
        <v>7.7459333849727585E-4</v>
      </c>
      <c r="AA205">
        <f>('CUMULS INDICES'!Y116/'CUMULS INDICES'!Y146)-1</f>
        <v>-3.6075036075036149E-3</v>
      </c>
      <c r="AB205">
        <f>('CUMULS INDICES'!Z116/'CUMULS INDICES'!Z146)-1</f>
        <v>1.0268562401263948E-2</v>
      </c>
      <c r="AC205">
        <f>('CUMULS INDICES'!AA116/'CUMULS INDICES'!AA146)-1</f>
        <v>5.3333333333333233E-2</v>
      </c>
      <c r="AD205">
        <f>('CUMULS INDICES'!AB116/'CUMULS INDICES'!AB146)-1</f>
        <v>-9.7326203208556117E-2</v>
      </c>
      <c r="AE205">
        <f>('CUMULS INDICES'!AC116/'CUMULS INDICES'!AC146)-1</f>
        <v>-5.915267785771372E-2</v>
      </c>
      <c r="AF205">
        <f>('CUMULS INDICES'!AD116/'CUMULS INDICES'!AD146)-1</f>
        <v>-1.882160392798693E-2</v>
      </c>
      <c r="AG205">
        <f>('CUMULS INDICES'!AE116/'CUMULS INDICES'!AE146)-1</f>
        <v>7.9105760963026572E-2</v>
      </c>
      <c r="AH205">
        <f>('CUMULS INDICES'!AF116/'CUMULS INDICES'!AF146)-1</f>
        <v>8.5930918281381663E-2</v>
      </c>
      <c r="AI205">
        <f>('CUMULS INDICES'!AG116/'CUMULS INDICES'!AG146)-1</f>
        <v>0.12315270935960609</v>
      </c>
      <c r="AJ205">
        <f>('CUMULS INDICES'!AH116/'CUMULS INDICES'!AH146)-1</f>
        <v>-3.9558417663293488E-2</v>
      </c>
      <c r="AK205">
        <f>('CUMULS INDICES'!AI116/'CUMULS INDICES'!AI146)-1</f>
        <v>-0.17564870259481047</v>
      </c>
      <c r="AL205">
        <f>('CUMULS INDICES'!AJ116/'CUMULS INDICES'!AJ146)-1</f>
        <v>-4.8727272727272619E-2</v>
      </c>
      <c r="AM205">
        <f>('CUMULS INDICES'!AK116/'CUMULS INDICES'!AK146)-1</f>
        <v>-4.2510121457489891E-2</v>
      </c>
      <c r="AN205">
        <f>('CUMULS INDICES'!AL116/'CUMULS INDICES'!AL146)-1</f>
        <v>-4.5351473922902508E-2</v>
      </c>
      <c r="AO205">
        <f>('CUMULS INDICES'!AM116/'CUMULS INDICES'!AM146)-1</f>
        <v>2.2433132010353685E-2</v>
      </c>
      <c r="AP205">
        <f>('CUMULS INDICES'!AN116/'CUMULS INDICES'!AN146)-1</f>
        <v>3.2437442075996303E-2</v>
      </c>
    </row>
    <row r="210" spans="1:12">
      <c r="A210" s="245" t="str">
        <f>"E. ÉVOLUTION A FIN "&amp;'A MODIFIER'!F4&amp;" PAR RAPPORT À "&amp;UPPER(TEXT(EDATE(DATE4,-1)," mmmmmmmm aaaa"))&amp;" (TRES COURT TERME)"</f>
        <v>E. ÉVOLUTION A FIN FÉVRIER 2026 PAR RAPPORT À  JANVIER 2026 (TRES COURT TERME)</v>
      </c>
      <c r="B210" s="245"/>
      <c r="C210" s="245"/>
    </row>
    <row r="212" spans="1:12">
      <c r="A212" s="34" t="s">
        <v>84</v>
      </c>
      <c r="B212" s="32" t="s">
        <v>47</v>
      </c>
      <c r="C212" t="s">
        <v>115</v>
      </c>
      <c r="D212" cm="1">
        <f t="array" ref="D212:D250">TRANSPOSE(D254:AP254)</f>
        <v>-1.5673981191222541E-2</v>
      </c>
      <c r="I212" t="str" cm="1">
        <f t="array" ref="I212:L250">_xlfn._xlws.SORT(A212:D250,4,-1,FALSE)</f>
        <v>https://www.insee.fr/fr/statistiques/serie/010764297</v>
      </c>
      <c r="J212" t="str">
        <v>010764297</v>
      </c>
      <c r="K212" t="str">
        <v>Gaz naturel</v>
      </c>
      <c r="L212">
        <v>0.13025210084033612</v>
      </c>
    </row>
    <row r="213" spans="1:12">
      <c r="A213" s="37" t="s">
        <v>356</v>
      </c>
      <c r="B213">
        <v>8682743</v>
      </c>
      <c r="C213" t="s">
        <v>116</v>
      </c>
      <c r="D213">
        <v>0</v>
      </c>
      <c r="I213" t="str">
        <v>https://www.insee.fr/fr/statistiques/serie/010777519</v>
      </c>
      <c r="J213" t="str">
        <v>010777519</v>
      </c>
      <c r="K213" t="str">
        <v>GNR pour les Travaux Publics</v>
      </c>
      <c r="L213">
        <v>4.7301798800799322E-2</v>
      </c>
    </row>
    <row r="214" spans="1:12">
      <c r="A214" s="34" t="s">
        <v>85</v>
      </c>
      <c r="B214" s="32" t="s">
        <v>49</v>
      </c>
      <c r="C214" t="s">
        <v>117</v>
      </c>
      <c r="D214">
        <v>0</v>
      </c>
      <c r="I214" t="str">
        <v>https://www.fntp.fr/sites/default/files/content/indice_gazole_htt.pdf</v>
      </c>
      <c r="J214" t="str">
        <v>Gazole routier HTT</v>
      </c>
      <c r="K214" t="str">
        <v>Gazole routier HTT</v>
      </c>
      <c r="L214">
        <v>4.2152704135737018E-2</v>
      </c>
    </row>
    <row r="215" spans="1:12">
      <c r="A215" s="34" t="s">
        <v>279</v>
      </c>
      <c r="B215" s="32" t="s">
        <v>317</v>
      </c>
      <c r="C215" t="s">
        <v>316</v>
      </c>
      <c r="D215">
        <v>4.7301798800799322E-2</v>
      </c>
      <c r="I215" t="str">
        <v>https://www.insee.fr/fr/statistiques/serie/010764136</v>
      </c>
      <c r="J215" t="str">
        <v>010764136</v>
      </c>
      <c r="K215" t="str">
        <v>Bitume</v>
      </c>
      <c r="L215">
        <v>3.7151702786377694E-2</v>
      </c>
    </row>
    <row r="216" spans="1:12">
      <c r="A216" s="34" t="s">
        <v>86</v>
      </c>
      <c r="B216" s="32" t="s">
        <v>50</v>
      </c>
      <c r="C216" t="s">
        <v>118</v>
      </c>
      <c r="D216">
        <v>2.4873649786938845E-2</v>
      </c>
      <c r="I216" t="str">
        <v>https://www.insee.fr/fr/statistiques/serie/001764283</v>
      </c>
      <c r="J216" t="str">
        <v>001764283</v>
      </c>
      <c r="K216" t="str">
        <v>Gazole</v>
      </c>
      <c r="L216">
        <v>2.4873649786938845E-2</v>
      </c>
    </row>
    <row r="217" spans="1:12">
      <c r="A217" s="34" t="s">
        <v>87</v>
      </c>
      <c r="B217" s="32" t="s">
        <v>51</v>
      </c>
      <c r="C217" t="s">
        <v>119</v>
      </c>
      <c r="D217">
        <v>1.0169491525423791E-2</v>
      </c>
      <c r="I217" t="str">
        <v>https://www.insee.fr/fr/statistiques/serie/010765839</v>
      </c>
      <c r="J217" t="str">
        <v>010765839</v>
      </c>
      <c r="K217" t="str">
        <v>Tôles quarto et autres produits plats en aciers non alliés de qualité</v>
      </c>
      <c r="L217">
        <v>1.8137847642079707E-2</v>
      </c>
    </row>
    <row r="218" spans="1:12">
      <c r="A218" s="34" t="s">
        <v>88</v>
      </c>
      <c r="B218" s="32" t="s">
        <v>52</v>
      </c>
      <c r="C218" t="s">
        <v>120</v>
      </c>
      <c r="D218">
        <v>0</v>
      </c>
      <c r="I218" t="str">
        <v>https://www.insee.fr/fr/statistiques/serie/010763881</v>
      </c>
      <c r="J218" t="str">
        <v>010763881</v>
      </c>
      <c r="K218" t="str">
        <v>Produits sidérurgiques en acier non allié</v>
      </c>
      <c r="L218">
        <v>1.7204301075268713E-2</v>
      </c>
    </row>
    <row r="219" spans="1:12">
      <c r="A219" s="34" t="s">
        <v>280</v>
      </c>
      <c r="B219" s="187" t="s">
        <v>320</v>
      </c>
      <c r="C219" t="s">
        <v>121</v>
      </c>
      <c r="D219">
        <v>-4.2801556420233422E-2</v>
      </c>
      <c r="I219" t="str">
        <v>https://www.insee.fr/fr/statistiques/serie/010765500</v>
      </c>
      <c r="J219" t="str">
        <v>010765500</v>
      </c>
      <c r="K219" t="str">
        <v>Sables et granulats</v>
      </c>
      <c r="L219">
        <v>1.632302405498276E-2</v>
      </c>
    </row>
    <row r="220" spans="1:12">
      <c r="A220" s="159" t="s">
        <v>281</v>
      </c>
      <c r="B220" s="187" t="s">
        <v>321</v>
      </c>
      <c r="C220" t="s">
        <v>263</v>
      </c>
      <c r="D220">
        <v>0.13025210084033612</v>
      </c>
      <c r="I220" t="str">
        <v>https://www.insee.fr/fr/statistiques/serie/010764224</v>
      </c>
      <c r="J220" t="str">
        <v>010764224</v>
      </c>
      <c r="K220" t="str">
        <v>Matériel de distribution et de commande électrique</v>
      </c>
      <c r="L220">
        <v>1.4084507042253502E-2</v>
      </c>
    </row>
    <row r="221" spans="1:12" ht="30">
      <c r="A221" s="34" t="s">
        <v>90</v>
      </c>
      <c r="B221" s="32" t="s">
        <v>55</v>
      </c>
      <c r="C221" t="s">
        <v>55</v>
      </c>
      <c r="D221">
        <v>4.2152704135737018E-2</v>
      </c>
      <c r="I221" t="str">
        <v>https://www.insee.fr/fr/statistiques/serie/010763871</v>
      </c>
      <c r="J221" t="str">
        <v>010763871</v>
      </c>
      <c r="K221" t="str">
        <v>Produits de voierie en béton</v>
      </c>
      <c r="L221">
        <v>1.3406940063091399E-2</v>
      </c>
    </row>
    <row r="222" spans="1:12">
      <c r="A222" s="34" t="s">
        <v>282</v>
      </c>
      <c r="B222" s="32" t="s">
        <v>322</v>
      </c>
      <c r="C222" t="s">
        <v>122</v>
      </c>
      <c r="D222">
        <v>9.9900099900100958E-3</v>
      </c>
      <c r="I222" t="str">
        <v>https://www.insee.fr/fr/statistiques/serie/010764195</v>
      </c>
      <c r="J222" t="str">
        <v>010764195</v>
      </c>
      <c r="K222" t="str">
        <v>Travaux de fonderie de fonte</v>
      </c>
      <c r="L222">
        <v>1.3333333333333197E-2</v>
      </c>
    </row>
    <row r="223" spans="1:12">
      <c r="A223" s="34" t="s">
        <v>284</v>
      </c>
      <c r="B223" s="187" t="s">
        <v>283</v>
      </c>
      <c r="C223" t="s">
        <v>123</v>
      </c>
      <c r="D223">
        <v>-8.779631255487752E-4</v>
      </c>
      <c r="I223" t="str">
        <v>https://www.insee.fr/fr/statistiques/serie/001711011</v>
      </c>
      <c r="J223" t="str">
        <v>001711011</v>
      </c>
      <c r="K223" t="str">
        <v>Frais divers</v>
      </c>
      <c r="L223">
        <v>1.0169491525423791E-2</v>
      </c>
    </row>
    <row r="224" spans="1:12">
      <c r="A224" s="34" t="s">
        <v>285</v>
      </c>
      <c r="B224" s="187" t="s">
        <v>323</v>
      </c>
      <c r="C224" t="s">
        <v>124</v>
      </c>
      <c r="D224">
        <v>-4.48430493273555E-3</v>
      </c>
      <c r="I224" t="str">
        <v>https://www.insee.fr/fr/statistiques/serie/010763845</v>
      </c>
      <c r="J224" t="str">
        <v>010763845</v>
      </c>
      <c r="K224" t="str">
        <v>Tubes, tuyaux en matière plastique</v>
      </c>
      <c r="L224">
        <v>9.9900099900100958E-3</v>
      </c>
    </row>
    <row r="225" spans="1:12">
      <c r="A225" s="34" t="s">
        <v>286</v>
      </c>
      <c r="B225" s="187" t="s">
        <v>324</v>
      </c>
      <c r="C225" t="s">
        <v>125</v>
      </c>
      <c r="D225">
        <v>7.0175438596491446E-3</v>
      </c>
      <c r="I225" t="str">
        <v>https://www.insee.fr/fr/statistiques/serie/010764301</v>
      </c>
      <c r="J225" t="str">
        <v>010764301</v>
      </c>
      <c r="K225" t="str">
        <v>Collecte, traitement et élimination des déchets ; récupération de matériaux</v>
      </c>
      <c r="L225">
        <v>9.9728014505893192E-3</v>
      </c>
    </row>
    <row r="226" spans="1:12">
      <c r="A226" s="34" t="s">
        <v>287</v>
      </c>
      <c r="B226" s="196" t="s">
        <v>319</v>
      </c>
      <c r="C226" t="s">
        <v>126</v>
      </c>
      <c r="D226">
        <v>1.632302405498276E-2</v>
      </c>
      <c r="I226" t="str">
        <v>https://www.insee.fr/fr/statistiques/serie/010764179</v>
      </c>
      <c r="J226" t="str">
        <v>010764179</v>
      </c>
      <c r="K226" t="str">
        <v>Éléments en béton pour la construction</v>
      </c>
      <c r="L226">
        <v>8.410428931875602E-3</v>
      </c>
    </row>
    <row r="227" spans="1:12">
      <c r="A227" s="34" t="s">
        <v>288</v>
      </c>
      <c r="B227" s="32" t="s">
        <v>325</v>
      </c>
      <c r="C227" t="s">
        <v>127</v>
      </c>
      <c r="D227">
        <v>-4.7984644913627861E-3</v>
      </c>
      <c r="I227" t="str">
        <v>https://www.insee.fr/fr/statistiques/serie/010764143</v>
      </c>
      <c r="J227" t="str">
        <v>010764143</v>
      </c>
      <c r="K227" t="str">
        <v>Matières plastiques sous formes primaires</v>
      </c>
      <c r="L227">
        <v>7.1599045346062429E-3</v>
      </c>
    </row>
    <row r="228" spans="1:12">
      <c r="A228" s="34" t="s">
        <v>289</v>
      </c>
      <c r="B228" s="32" t="s">
        <v>326</v>
      </c>
      <c r="C228" t="s">
        <v>128</v>
      </c>
      <c r="D228">
        <v>-7.9787234042554278E-3</v>
      </c>
      <c r="I228" t="str">
        <v>https://www.insee.fr/fr/statistiques/serie/010764223</v>
      </c>
      <c r="J228" t="str">
        <v>010764223</v>
      </c>
      <c r="K228" t="str">
        <v>Moteurs, génératrices, transfo. électr., matér. distrib., cmde électr.</v>
      </c>
      <c r="L228">
        <v>7.0312500000000444E-3</v>
      </c>
    </row>
    <row r="229" spans="1:12">
      <c r="A229" s="34" t="s">
        <v>290</v>
      </c>
      <c r="B229" s="32" t="s">
        <v>327</v>
      </c>
      <c r="C229" t="s">
        <v>258</v>
      </c>
      <c r="D229">
        <v>-8.8967971530251599E-4</v>
      </c>
      <c r="I229" t="str">
        <v>https://www.insee.fr/fr/statistiques/serie/010766236</v>
      </c>
      <c r="J229" t="str">
        <v>010766236</v>
      </c>
      <c r="K229" t="str">
        <v>Barres crénelées ou nervurées pour béton armé</v>
      </c>
      <c r="L229">
        <v>7.0175438596491446E-3</v>
      </c>
    </row>
    <row r="230" spans="1:12">
      <c r="A230" s="34" t="s">
        <v>291</v>
      </c>
      <c r="B230" s="32" t="s">
        <v>328</v>
      </c>
      <c r="C230" t="s">
        <v>129</v>
      </c>
      <c r="D230">
        <v>0</v>
      </c>
      <c r="I230" t="str">
        <v>https://www.insee.fr/fr/statistiques/8682743</v>
      </c>
      <c r="J230">
        <v>8682743</v>
      </c>
      <c r="K230" t="str">
        <v>Travail</v>
      </c>
      <c r="L230">
        <v>0</v>
      </c>
    </row>
    <row r="231" spans="1:12">
      <c r="A231" s="34" t="s">
        <v>292</v>
      </c>
      <c r="B231" s="32" t="s">
        <v>329</v>
      </c>
      <c r="C231" t="s">
        <v>130</v>
      </c>
      <c r="D231">
        <v>3.7151702786377694E-2</v>
      </c>
      <c r="I231" t="str">
        <v>https://www.insee.fr/fr/statistiques/serie/001565195</v>
      </c>
      <c r="J231" t="str">
        <v>001565195</v>
      </c>
      <c r="K231" t="str">
        <v>Travail activités spécialisées</v>
      </c>
      <c r="L231">
        <v>0</v>
      </c>
    </row>
    <row r="232" spans="1:12">
      <c r="A232" s="34" t="s">
        <v>293</v>
      </c>
      <c r="B232" s="32" t="s">
        <v>330</v>
      </c>
      <c r="C232" t="s">
        <v>131</v>
      </c>
      <c r="D232">
        <v>1.3406940063091399E-2</v>
      </c>
      <c r="I232" t="str">
        <v>https://www.insee.fr/fr/statistiques/serie/001711943</v>
      </c>
      <c r="J232" t="str">
        <v>001711943</v>
      </c>
      <c r="K232" t="str">
        <v>Transports routiers</v>
      </c>
      <c r="L232">
        <v>0</v>
      </c>
    </row>
    <row r="233" spans="1:12">
      <c r="A233" s="34" t="s">
        <v>294</v>
      </c>
      <c r="B233" s="32" t="s">
        <v>331</v>
      </c>
      <c r="C233" t="s">
        <v>132</v>
      </c>
      <c r="D233">
        <v>-8.6880973066898459E-3</v>
      </c>
      <c r="I233" t="str">
        <v>https://www.insee.fr/fr/statistiques/serie/010765837</v>
      </c>
      <c r="J233" t="str">
        <v>010765837</v>
      </c>
      <c r="K233" t="str">
        <v>Acier pour la construction</v>
      </c>
      <c r="L233">
        <v>0</v>
      </c>
    </row>
    <row r="234" spans="1:12">
      <c r="A234" s="34" t="s">
        <v>295</v>
      </c>
      <c r="B234" s="32" t="s">
        <v>332</v>
      </c>
      <c r="C234" t="s">
        <v>133</v>
      </c>
      <c r="D234">
        <v>1.3333333333333197E-2</v>
      </c>
      <c r="I234" t="str">
        <v>https://www.insee.fr/fr/statistiques/serie/010764172</v>
      </c>
      <c r="J234" t="str">
        <v>010764172</v>
      </c>
      <c r="K234" t="str">
        <v>Tuiles, briques et produits de construction en terre cuite</v>
      </c>
      <c r="L234">
        <v>0</v>
      </c>
    </row>
    <row r="235" spans="1:12">
      <c r="A235" s="34" t="s">
        <v>296</v>
      </c>
      <c r="B235" s="32" t="s">
        <v>333</v>
      </c>
      <c r="C235" t="s">
        <v>134</v>
      </c>
      <c r="D235">
        <v>0</v>
      </c>
      <c r="I235" t="str">
        <v>https://www.insee.fr/fr/statistiques/serie/010766292</v>
      </c>
      <c r="J235" t="str">
        <v>010766292</v>
      </c>
      <c r="K235" t="str">
        <v>Réseaux d’assainissement</v>
      </c>
      <c r="L235">
        <v>0</v>
      </c>
    </row>
    <row r="236" spans="1:12">
      <c r="A236" s="159" t="s">
        <v>297</v>
      </c>
      <c r="B236" s="32" t="s">
        <v>334</v>
      </c>
      <c r="C236" t="s">
        <v>266</v>
      </c>
      <c r="D236">
        <v>0</v>
      </c>
      <c r="I236" t="str">
        <v>https://www.insee.fr/fr/statistiques/serie/010764101</v>
      </c>
      <c r="J236" t="str">
        <v>010764101</v>
      </c>
      <c r="K236" t="str">
        <v>Autres textiles</v>
      </c>
      <c r="L236">
        <v>0</v>
      </c>
    </row>
    <row r="237" spans="1:12">
      <c r="A237" s="34" t="s">
        <v>298</v>
      </c>
      <c r="B237" s="32" t="s">
        <v>335</v>
      </c>
      <c r="C237" t="s">
        <v>261</v>
      </c>
      <c r="D237">
        <v>0</v>
      </c>
      <c r="I237" t="str">
        <v>https://www.insee.fr/fr/statistiques/serie/010763930</v>
      </c>
      <c r="J237" t="str">
        <v>010763930</v>
      </c>
      <c r="K237" t="str">
        <v>Fils et câbles d'énergie</v>
      </c>
      <c r="L237">
        <v>0</v>
      </c>
    </row>
    <row r="238" spans="1:12">
      <c r="A238" s="34" t="s">
        <v>299</v>
      </c>
      <c r="B238" s="32" t="s">
        <v>336</v>
      </c>
      <c r="C238" t="s">
        <v>135</v>
      </c>
      <c r="D238">
        <v>7.1599045346062429E-3</v>
      </c>
      <c r="I238" t="str">
        <v>https://www.insee.fr/fr/statistiques/serie/010764306</v>
      </c>
      <c r="J238" t="str">
        <v>010764306</v>
      </c>
      <c r="K238" t="str">
        <v>Traitement et élimination des déchets non dangereux</v>
      </c>
      <c r="L238">
        <v>0</v>
      </c>
    </row>
    <row r="239" spans="1:12">
      <c r="A239" s="34" t="s">
        <v>300</v>
      </c>
      <c r="B239" s="32" t="s">
        <v>337</v>
      </c>
      <c r="C239" t="s">
        <v>136</v>
      </c>
      <c r="D239">
        <v>-4.2310821806346599E-2</v>
      </c>
      <c r="I239" t="str">
        <v>https://www.insee.fr/fr/statistiques/serie/010764116#Tableau</v>
      </c>
      <c r="J239" t="str">
        <v> 010764116</v>
      </c>
      <c r="K239" t="str">
        <v>Ensemble des produits du sciage</v>
      </c>
      <c r="L239">
        <v>-8.779631255487752E-4</v>
      </c>
    </row>
    <row r="240" spans="1:12">
      <c r="A240" s="159" t="s">
        <v>301</v>
      </c>
      <c r="B240" s="32" t="s">
        <v>338</v>
      </c>
      <c r="C240" t="s">
        <v>137</v>
      </c>
      <c r="D240">
        <v>8.410428931875602E-3</v>
      </c>
      <c r="I240" t="str">
        <v>https://www.insee.fr/fr/statistiques/serie/010764149</v>
      </c>
      <c r="J240" t="str">
        <v>010764149</v>
      </c>
      <c r="K240" t="str">
        <v>Autres produits chimiques</v>
      </c>
      <c r="L240">
        <v>-8.8967971530251599E-4</v>
      </c>
    </row>
    <row r="241" spans="1:44">
      <c r="A241" s="34" t="s">
        <v>302</v>
      </c>
      <c r="B241" s="32" t="s">
        <v>339</v>
      </c>
      <c r="C241" t="s">
        <v>138</v>
      </c>
      <c r="D241">
        <v>0</v>
      </c>
      <c r="I241" t="str">
        <v>https://www.insee.fr/fr/statistiques/serie/010764834</v>
      </c>
      <c r="J241" t="str">
        <v>010764834</v>
      </c>
      <c r="K241" t="str">
        <v>Câbles de fibres optiques</v>
      </c>
      <c r="L241">
        <v>-1.2091898428053804E-3</v>
      </c>
    </row>
    <row r="242" spans="1:44">
      <c r="A242" s="34" t="s">
        <v>303</v>
      </c>
      <c r="B242" s="32" t="s">
        <v>340</v>
      </c>
      <c r="C242" t="s">
        <v>139</v>
      </c>
      <c r="D242">
        <v>7.0312500000000444E-3</v>
      </c>
      <c r="I242" t="str">
        <v>https://www.insee.fr/fr/statistiques/serie/010763825</v>
      </c>
      <c r="J242" t="str">
        <v>010763825</v>
      </c>
      <c r="K242" t="str">
        <v>Peintures Industries</v>
      </c>
      <c r="L242">
        <v>-3.0487804878046587E-3</v>
      </c>
    </row>
    <row r="243" spans="1:44">
      <c r="A243" s="34" t="s">
        <v>304</v>
      </c>
      <c r="B243" s="32" t="s">
        <v>341</v>
      </c>
      <c r="C243" t="s">
        <v>140</v>
      </c>
      <c r="D243">
        <v>1.4084507042253502E-2</v>
      </c>
      <c r="I243" t="str">
        <v>https://www.insee.fr/fr/statistiques/serie/010764180</v>
      </c>
      <c r="J243" t="str">
        <v>010764180</v>
      </c>
      <c r="K243" t="str">
        <v>Béton prêt à l'emploi</v>
      </c>
      <c r="L243">
        <v>-4.48430493273555E-3</v>
      </c>
    </row>
    <row r="244" spans="1:44">
      <c r="A244" s="34" t="s">
        <v>318</v>
      </c>
      <c r="B244" s="32" t="s">
        <v>342</v>
      </c>
      <c r="C244" t="s">
        <v>141</v>
      </c>
      <c r="D244">
        <v>-2.7027027027026973E-2</v>
      </c>
      <c r="I244" t="str">
        <v>https://www.insee.fr/fr/statistiques/serie/010764160</v>
      </c>
      <c r="J244" t="str">
        <v>010764160</v>
      </c>
      <c r="K244" t="str">
        <v>Plaques, feuilles, tubes et profilés en matières plastiques</v>
      </c>
      <c r="L244">
        <v>-4.7984644913627861E-3</v>
      </c>
    </row>
    <row r="245" spans="1:44">
      <c r="A245" s="34" t="s">
        <v>305</v>
      </c>
      <c r="B245" s="32" t="s">
        <v>343</v>
      </c>
      <c r="C245" t="s">
        <v>142</v>
      </c>
      <c r="D245">
        <v>-1.2091898428053804E-3</v>
      </c>
      <c r="I245" t="str">
        <v>https://www.insee.fr/fr/statistiques/serie/010764176</v>
      </c>
      <c r="J245" t="str">
        <v>010764176</v>
      </c>
      <c r="K245" t="str">
        <v>Ciment, chaux et plâtre</v>
      </c>
      <c r="L245">
        <v>-7.9787234042554278E-3</v>
      </c>
    </row>
    <row r="246" spans="1:44">
      <c r="A246" s="34" t="s">
        <v>306</v>
      </c>
      <c r="B246" s="32" t="s">
        <v>344</v>
      </c>
      <c r="C246" t="s">
        <v>143</v>
      </c>
      <c r="D246">
        <v>-3.0487804878046587E-3</v>
      </c>
      <c r="I246" t="str">
        <v>https://www.insee.fr/fr/statistiques/serie/010764181</v>
      </c>
      <c r="J246" t="str">
        <v>010764181</v>
      </c>
      <c r="K246" t="str">
        <v>Mortiers et bétons secs</v>
      </c>
      <c r="L246">
        <v>-8.6880973066898459E-3</v>
      </c>
    </row>
    <row r="247" spans="1:44">
      <c r="A247" s="34" t="s">
        <v>307</v>
      </c>
      <c r="B247" s="32" t="s">
        <v>345</v>
      </c>
      <c r="C247" t="s">
        <v>144</v>
      </c>
      <c r="D247">
        <v>1.7204301075268713E-2</v>
      </c>
      <c r="I247" t="str">
        <v>https://www.insee.fr/fr/statistiques/serie/001711009</v>
      </c>
      <c r="J247" t="str">
        <v>001711009</v>
      </c>
      <c r="K247" t="str">
        <v>Matériel</v>
      </c>
      <c r="L247">
        <v>-1.5673981191222541E-2</v>
      </c>
    </row>
    <row r="248" spans="1:44">
      <c r="A248" s="34" t="s">
        <v>308</v>
      </c>
      <c r="B248" s="32" t="s">
        <v>346</v>
      </c>
      <c r="C248" t="s">
        <v>145</v>
      </c>
      <c r="D248">
        <v>1.8137847642079707E-2</v>
      </c>
      <c r="I248" t="str">
        <v>https://www.insee.fr/fr/statistiques/serie/010764228</v>
      </c>
      <c r="J248" t="str">
        <v>010764228</v>
      </c>
      <c r="K248" t="str">
        <v>Appareils d'éclairage électrique</v>
      </c>
      <c r="L248">
        <v>-2.7027027027026973E-2</v>
      </c>
    </row>
    <row r="249" spans="1:44">
      <c r="A249" s="34" t="s">
        <v>309</v>
      </c>
      <c r="B249" s="32" t="s">
        <v>347</v>
      </c>
      <c r="C249" t="s">
        <v>148</v>
      </c>
      <c r="D249">
        <v>0</v>
      </c>
      <c r="I249" t="str">
        <v>https://www.insee.fr/fr/statistiques/serie/010764187</v>
      </c>
      <c r="J249" t="str">
        <v>010764187</v>
      </c>
      <c r="K249" t="str">
        <v>Tubes, tuyaux, profilés creux et accessoires correspondants en acier</v>
      </c>
      <c r="L249">
        <v>-4.2310821806346599E-2</v>
      </c>
    </row>
    <row r="250" spans="1:44">
      <c r="A250" s="34" t="s">
        <v>310</v>
      </c>
      <c r="B250" s="32" t="s">
        <v>348</v>
      </c>
      <c r="C250" t="s">
        <v>149</v>
      </c>
      <c r="D250">
        <v>9.9728014505893192E-3</v>
      </c>
      <c r="I250" t="str">
        <v>https://www.insee.fr/fr/statistiques/serie/010764291</v>
      </c>
      <c r="J250" t="str">
        <v>010764291</v>
      </c>
      <c r="K250" t="str">
        <v>Électricité vendue aux entreprises consommatrices finales</v>
      </c>
      <c r="L250">
        <v>-4.2801556420233422E-2</v>
      </c>
    </row>
    <row r="254" spans="1:44">
      <c r="D254" s="142">
        <f>'CUMULS INDICES'!B116/'CUMULS INDICES'!B115-1</f>
        <v>-1.5673981191222541E-2</v>
      </c>
      <c r="E254" s="142">
        <f>'CUMULS INDICES'!C116/'CUMULS INDICES'!C115-1</f>
        <v>0</v>
      </c>
      <c r="F254" s="142">
        <f>'CUMULS INDICES'!D116/'CUMULS INDICES'!D115-1</f>
        <v>0</v>
      </c>
      <c r="G254" s="142">
        <f>'CUMULS INDICES'!E116/'CUMULS INDICES'!E115-1</f>
        <v>4.7301798800799322E-2</v>
      </c>
      <c r="H254" s="142">
        <f>'CUMULS INDICES'!F116/'CUMULS INDICES'!F115-1</f>
        <v>2.4873649786938845E-2</v>
      </c>
      <c r="I254" s="142">
        <f>'CUMULS INDICES'!G116/'CUMULS INDICES'!G115-1</f>
        <v>1.0169491525423791E-2</v>
      </c>
      <c r="J254" s="142">
        <f>'CUMULS INDICES'!H116/'CUMULS INDICES'!H115-1</f>
        <v>0</v>
      </c>
      <c r="K254" s="142">
        <f>'CUMULS INDICES'!I116/'CUMULS INDICES'!I115-1</f>
        <v>-4.2801556420233422E-2</v>
      </c>
      <c r="L254" s="142">
        <f>'CUMULS INDICES'!J116/'CUMULS INDICES'!J115-1</f>
        <v>0.13025210084033612</v>
      </c>
      <c r="M254" s="142">
        <f>'CUMULS INDICES'!K116/'CUMULS INDICES'!K115-1</f>
        <v>4.2152704135737018E-2</v>
      </c>
      <c r="N254" s="142">
        <f>'CUMULS INDICES'!L116/'CUMULS INDICES'!L115-1</f>
        <v>9.9900099900100958E-3</v>
      </c>
      <c r="O254" s="142">
        <f>'CUMULS INDICES'!M116/'CUMULS INDICES'!M115-1</f>
        <v>-8.779631255487752E-4</v>
      </c>
      <c r="P254" s="142">
        <f>'CUMULS INDICES'!N116/'CUMULS INDICES'!N115-1</f>
        <v>-4.48430493273555E-3</v>
      </c>
      <c r="Q254" s="142">
        <f>'CUMULS INDICES'!O116/'CUMULS INDICES'!O115-1</f>
        <v>7.0175438596491446E-3</v>
      </c>
      <c r="R254" s="142">
        <f>'CUMULS INDICES'!P116/'CUMULS INDICES'!P115-1</f>
        <v>1.632302405498276E-2</v>
      </c>
      <c r="S254" s="142">
        <f>'CUMULS INDICES'!Q116/'CUMULS INDICES'!Q115-1</f>
        <v>-4.7984644913627861E-3</v>
      </c>
      <c r="T254" s="142">
        <f>'CUMULS INDICES'!R116/'CUMULS INDICES'!R115-1</f>
        <v>-7.9787234042554278E-3</v>
      </c>
      <c r="U254" s="142">
        <f>'CUMULS INDICES'!S116/'CUMULS INDICES'!S115-1</f>
        <v>-8.8967971530251599E-4</v>
      </c>
      <c r="V254" s="142">
        <f>'CUMULS INDICES'!T116/'CUMULS INDICES'!T115-1</f>
        <v>0</v>
      </c>
      <c r="W254" s="142">
        <f>'CUMULS INDICES'!U116/'CUMULS INDICES'!U115-1</f>
        <v>3.7151702786377694E-2</v>
      </c>
      <c r="X254" s="142">
        <f>'CUMULS INDICES'!V116/'CUMULS INDICES'!V115-1</f>
        <v>1.3406940063091399E-2</v>
      </c>
      <c r="Y254" s="142">
        <f>'CUMULS INDICES'!W116/'CUMULS INDICES'!W115-1</f>
        <v>-8.6880973066898459E-3</v>
      </c>
      <c r="Z254" s="142">
        <f>'CUMULS INDICES'!X116/'CUMULS INDICES'!X115-1</f>
        <v>1.3333333333333197E-2</v>
      </c>
      <c r="AA254" s="142">
        <f>'CUMULS INDICES'!Y116/'CUMULS INDICES'!Y115-1</f>
        <v>0</v>
      </c>
      <c r="AB254" s="142">
        <f>'CUMULS INDICES'!Z116/'CUMULS INDICES'!Z115-1</f>
        <v>0</v>
      </c>
      <c r="AC254" s="142">
        <f>'CUMULS INDICES'!AA116/'CUMULS INDICES'!AA115-1</f>
        <v>0</v>
      </c>
      <c r="AD254" s="142">
        <f>'CUMULS INDICES'!AB116/'CUMULS INDICES'!AB115-1</f>
        <v>7.1599045346062429E-3</v>
      </c>
      <c r="AE254" s="142">
        <f>'CUMULS INDICES'!AC116/'CUMULS INDICES'!AC115-1</f>
        <v>-4.2310821806346599E-2</v>
      </c>
      <c r="AF254" s="142">
        <f>'CUMULS INDICES'!AD116/'CUMULS INDICES'!AD115-1</f>
        <v>8.410428931875602E-3</v>
      </c>
      <c r="AG254" s="142">
        <f>'CUMULS INDICES'!AE116/'CUMULS INDICES'!AE115-1</f>
        <v>0</v>
      </c>
      <c r="AH254" s="142">
        <f>'CUMULS INDICES'!AF116/'CUMULS INDICES'!AF115-1</f>
        <v>7.0312500000000444E-3</v>
      </c>
      <c r="AI254" s="142">
        <f>'CUMULS INDICES'!AG116/'CUMULS INDICES'!AG115-1</f>
        <v>1.4084507042253502E-2</v>
      </c>
      <c r="AJ254" s="142">
        <f>'CUMULS INDICES'!AH116/'CUMULS INDICES'!AH115-1</f>
        <v>-2.7027027027026973E-2</v>
      </c>
      <c r="AK254" s="142">
        <f>'CUMULS INDICES'!AI116/'CUMULS INDICES'!AI115-1</f>
        <v>-1.2091898428053804E-3</v>
      </c>
      <c r="AL254" s="142">
        <f>'CUMULS INDICES'!AJ116/'CUMULS INDICES'!AJ115-1</f>
        <v>-3.0487804878046587E-3</v>
      </c>
      <c r="AM254" s="142">
        <f>'CUMULS INDICES'!AK116/'CUMULS INDICES'!AK115-1</f>
        <v>1.7204301075268713E-2</v>
      </c>
      <c r="AN254" s="142">
        <f>'CUMULS INDICES'!AL116/'CUMULS INDICES'!AL115-1</f>
        <v>1.8137847642079707E-2</v>
      </c>
      <c r="AO254" s="142">
        <f>'CUMULS INDICES'!AM116/'CUMULS INDICES'!AM115-1</f>
        <v>0</v>
      </c>
      <c r="AP254" s="142">
        <f>'CUMULS INDICES'!AN116/'CUMULS INDICES'!AN115-1</f>
        <v>9.9728014505893192E-3</v>
      </c>
      <c r="AQ254" s="142"/>
      <c r="AR254" s="142"/>
    </row>
  </sheetData>
  <sheetProtection algorithmName="SHA-512" hashValue="O0PPNiPz0DA+tgRh6vksBhYqHJOyyYHUZQQ79GeX3CebjlU8e6qlPXm9KxRnjhhoyJ/Gy8I7DHc5r3sXPx2nUQ==" saltValue="ot8toDf3xY6m0slMdcF5Z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 ref="A213" r:id="rId7" xr:uid="{1EC2CEC9-DD1A-4D1F-B845-0D2AF15B1780}"/>
    <hyperlink ref="A162" r:id="rId8" xr:uid="{6DE0D53F-7DEA-47DC-B172-57E5710CAD3C}"/>
    <hyperlink ref="A110" r:id="rId9" xr:uid="{4D291414-D898-4C39-A53E-5EAC62066203}"/>
    <hyperlink ref="A58" r:id="rId10" xr:uid="{12B089EE-AD33-4279-8ECB-54003CF5CFEA}"/>
    <hyperlink ref="A9" r:id="rId11" xr:uid="{6DBBFDF6-FFC3-457F-8F63-A18D3695EBF1}"/>
    <hyperlink ref="A12" r:id="rId12" xr:uid="{9CE212DF-250A-43ED-B4A5-5DDA56B521E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A31" sqref="A31:B32"/>
    </sheetView>
  </sheetViews>
  <sheetFormatPr baseColWidth="10" defaultRowHeight="15"/>
  <cols>
    <col min="1" max="1" width="6.85546875" customWidth="1"/>
    <col min="2" max="2" width="46.7109375" customWidth="1"/>
    <col min="3" max="3" width="38.42578125" customWidth="1"/>
    <col min="4" max="4" width="6.85546875" customWidth="1"/>
    <col min="7" max="7" width="52" style="201" customWidth="1"/>
  </cols>
  <sheetData>
    <row r="1" spans="1:4">
      <c r="A1" s="247" t="s">
        <v>232</v>
      </c>
      <c r="B1" s="247"/>
      <c r="C1" s="247"/>
      <c r="D1" s="247"/>
    </row>
    <row r="2" spans="1:4">
      <c r="A2" s="119"/>
      <c r="B2" s="119"/>
      <c r="C2" s="119"/>
      <c r="D2" s="119"/>
    </row>
    <row r="3" spans="1:4">
      <c r="A3" s="119"/>
      <c r="B3" s="119"/>
      <c r="C3" s="119"/>
      <c r="D3" s="119"/>
    </row>
    <row r="4" spans="1:4">
      <c r="A4" s="120"/>
      <c r="B4" s="119"/>
      <c r="C4" s="119"/>
      <c r="D4" s="120"/>
    </row>
    <row r="5" spans="1:4" ht="15" customHeight="1">
      <c r="A5" s="252" t="s">
        <v>233</v>
      </c>
      <c r="B5" s="252"/>
      <c r="C5" s="252"/>
      <c r="D5" s="252"/>
    </row>
    <row r="6" spans="1:4">
      <c r="A6" s="252"/>
      <c r="B6" s="252"/>
      <c r="C6" s="252"/>
      <c r="D6" s="252"/>
    </row>
    <row r="7" spans="1:4">
      <c r="A7" s="252"/>
      <c r="B7" s="252"/>
      <c r="C7" s="252"/>
      <c r="D7" s="252"/>
    </row>
    <row r="8" spans="1:4" ht="24.75" customHeight="1">
      <c r="A8" s="255" t="str">
        <f>"Cette édition porte sur les données de "&amp;TEXT(DATE3,"mmmmmmmm aaaa")&amp;". A noter que depuis janvier 2024, certains index ont été créés, expliquant ainsi l'impossibilité de calculer leur évolution passée."</f>
        <v>Cette édition porte sur les données de février 2026. A noter que depuis janvier 2024, certains index ont été créés, expliquant ainsi l'impossibilité de calculer leur évolution passée.</v>
      </c>
      <c r="B8" s="255"/>
      <c r="C8" s="255"/>
      <c r="D8" s="145"/>
    </row>
    <row r="9" spans="1:4">
      <c r="A9" s="256" t="s">
        <v>224</v>
      </c>
      <c r="B9" s="256"/>
      <c r="C9" s="256"/>
      <c r="D9" s="256"/>
    </row>
    <row r="10" spans="1:4">
      <c r="A10" s="256"/>
      <c r="B10" s="256"/>
      <c r="C10" s="256"/>
      <c r="D10" s="256"/>
    </row>
    <row r="11" spans="1:4">
      <c r="A11" s="122" t="s">
        <v>234</v>
      </c>
      <c r="B11" s="119"/>
      <c r="C11" s="119"/>
      <c r="D11" s="119"/>
    </row>
    <row r="12" spans="1:4" ht="15" customHeight="1">
      <c r="A12" s="253"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2025 (Cumul janv 2026-févr 2026 / Cumul janv 2025-févr 2025) et de 2024 (Cumul janv 2026-févr 2026 / Cumul janv 2024-févr 2024)</v>
      </c>
      <c r="B12" s="253"/>
      <c r="C12" s="253"/>
      <c r="D12" s="253"/>
    </row>
    <row r="13" spans="1:4">
      <c r="A13" s="253"/>
      <c r="B13" s="253"/>
      <c r="C13" s="253"/>
      <c r="D13" s="253"/>
    </row>
    <row r="14" spans="1:4" ht="15" customHeight="1">
      <c r="A14" s="253"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déc 2025-févr 2026 / Cumul sept 2025-nov 2025) et 6 mois glissants (Cumul sept 2025-févr 2026 / Cumul mars 2025-août 2025)</v>
      </c>
      <c r="B14" s="253"/>
      <c r="C14" s="253"/>
      <c r="D14" s="253"/>
    </row>
    <row r="15" spans="1:4">
      <c r="A15" s="253"/>
      <c r="B15" s="253"/>
      <c r="C15" s="253"/>
      <c r="D15" s="253"/>
    </row>
    <row r="16" spans="1:4">
      <c r="A16" s="119"/>
      <c r="B16" s="123"/>
      <c r="C16" s="123"/>
      <c r="D16" s="119"/>
    </row>
    <row r="17" spans="1:4">
      <c r="A17" s="249" t="s">
        <v>255</v>
      </c>
      <c r="B17" s="249"/>
      <c r="C17" s="249"/>
      <c r="D17" s="249"/>
    </row>
    <row r="18" spans="1:4">
      <c r="A18" s="119"/>
      <c r="B18" s="119"/>
      <c r="C18" s="119"/>
      <c r="D18" s="119"/>
    </row>
    <row r="19" spans="1:4" ht="15" customHeight="1">
      <c r="A19" s="248" t="s">
        <v>235</v>
      </c>
      <c r="B19" s="248"/>
      <c r="C19" s="119"/>
      <c r="D19" s="119"/>
    </row>
    <row r="20" spans="1:4">
      <c r="A20" s="248"/>
      <c r="B20" s="248"/>
      <c r="C20" s="119"/>
      <c r="D20" s="119"/>
    </row>
    <row r="21" spans="1:4" ht="15" customHeight="1">
      <c r="A21" s="254"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2026-févr 2026 / Cumul janv 2025-févr 2025) + indication de l’évolution par rapport à */2024 = Cumul janv 2026-févr 2026 / Cumul janv 2024-févr 2024)
- en 3 mois glissants (Cumul déc 2025-févr 2026 / Cumul sept 2025-nov 2025 + indication de l'évolution en 6 mois glissants (Cumul sept 2025-févr 2026 / Cumul mars 2025-août 2025)</v>
      </c>
      <c r="B21" s="254"/>
      <c r="C21" s="119"/>
      <c r="D21" s="119"/>
    </row>
    <row r="22" spans="1:4">
      <c r="A22" s="254"/>
      <c r="B22" s="254"/>
      <c r="C22" s="119"/>
      <c r="D22" s="119"/>
    </row>
    <row r="23" spans="1:4">
      <c r="A23" s="254"/>
      <c r="B23" s="254"/>
      <c r="C23" s="119"/>
      <c r="D23" s="119"/>
    </row>
    <row r="24" spans="1:4">
      <c r="A24" s="254"/>
      <c r="B24" s="254"/>
      <c r="C24" s="131"/>
      <c r="D24" s="119"/>
    </row>
    <row r="25" spans="1:4">
      <c r="A25" s="254"/>
      <c r="B25" s="254"/>
      <c r="C25" s="131"/>
      <c r="D25" s="119"/>
    </row>
    <row r="26" spans="1:4">
      <c r="A26" s="254"/>
      <c r="B26" s="254"/>
      <c r="C26" s="131"/>
      <c r="D26" s="119"/>
    </row>
    <row r="27" spans="1:4">
      <c r="A27" s="254"/>
      <c r="B27" s="254"/>
      <c r="C27" s="131"/>
      <c r="D27" s="119"/>
    </row>
    <row r="28" spans="1:4">
      <c r="A28" s="131"/>
      <c r="B28" s="119"/>
      <c r="C28" s="131"/>
      <c r="D28" s="119"/>
    </row>
    <row r="29" spans="1:4">
      <c r="A29" s="249" t="s">
        <v>236</v>
      </c>
      <c r="B29" s="249"/>
      <c r="C29" s="249"/>
      <c r="D29" s="249"/>
    </row>
    <row r="30" spans="1:4">
      <c r="A30" s="124"/>
      <c r="B30" s="119"/>
      <c r="C30" s="119"/>
      <c r="D30" s="119"/>
    </row>
    <row r="31" spans="1:4" ht="15" customHeight="1">
      <c r="A31" s="251" t="s">
        <v>227</v>
      </c>
      <c r="B31" s="251"/>
      <c r="C31" s="119"/>
      <c r="D31" s="119"/>
    </row>
    <row r="32" spans="1:4">
      <c r="A32" s="251"/>
      <c r="B32" s="251"/>
      <c r="C32" s="119"/>
      <c r="D32" s="119"/>
    </row>
    <row r="33" spans="1:4">
      <c r="A33" s="119"/>
      <c r="B33" s="119"/>
      <c r="C33" s="119"/>
      <c r="D33" s="119"/>
    </row>
    <row r="34" spans="1:4">
      <c r="A34" s="119"/>
      <c r="B34" s="119"/>
      <c r="C34" s="119"/>
      <c r="D34" s="119"/>
    </row>
    <row r="35" spans="1:4" ht="15" customHeight="1">
      <c r="A35" s="248" t="s">
        <v>237</v>
      </c>
      <c r="B35" s="248"/>
      <c r="C35" s="119"/>
      <c r="D35" s="119"/>
    </row>
    <row r="36" spans="1:4">
      <c r="A36" s="248"/>
      <c r="B36" s="248"/>
      <c r="C36" s="119"/>
      <c r="D36" s="119"/>
    </row>
    <row r="37" spans="1:4">
      <c r="A37" s="248"/>
      <c r="B37" s="248"/>
      <c r="C37" s="119"/>
      <c r="D37" s="119"/>
    </row>
    <row r="38" spans="1:4">
      <c r="A38" s="248"/>
      <c r="B38" s="248"/>
      <c r="C38" s="119"/>
      <c r="D38" s="119"/>
    </row>
    <row r="39" spans="1:4" ht="15" customHeight="1">
      <c r="A39" s="248" t="s">
        <v>238</v>
      </c>
      <c r="B39" s="248"/>
      <c r="C39" s="119"/>
      <c r="D39" s="119"/>
    </row>
    <row r="40" spans="1:4">
      <c r="A40" s="248"/>
      <c r="B40" s="248"/>
      <c r="C40" s="119"/>
      <c r="D40" s="119"/>
    </row>
    <row r="41" spans="1:4">
      <c r="A41" s="248"/>
      <c r="B41" s="248"/>
      <c r="C41" s="119"/>
      <c r="D41" s="119"/>
    </row>
    <row r="42" spans="1:4">
      <c r="A42" s="248"/>
      <c r="B42" s="248"/>
      <c r="C42" s="119"/>
      <c r="D42" s="119"/>
    </row>
    <row r="43" spans="1:4">
      <c r="A43" s="248"/>
      <c r="B43" s="248"/>
      <c r="C43" s="119"/>
      <c r="D43" s="119"/>
    </row>
    <row r="44" spans="1:4" ht="15" customHeight="1">
      <c r="A44" s="248" t="s">
        <v>239</v>
      </c>
      <c r="B44" s="248"/>
      <c r="C44" s="119"/>
      <c r="D44" s="119"/>
    </row>
    <row r="45" spans="1:4">
      <c r="A45" s="248"/>
      <c r="B45" s="248"/>
      <c r="C45" s="119"/>
      <c r="D45" s="119"/>
    </row>
    <row r="46" spans="1:4">
      <c r="A46" s="248"/>
      <c r="B46" s="248"/>
      <c r="C46" s="119"/>
      <c r="D46" s="119"/>
    </row>
    <row r="47" spans="1:4">
      <c r="A47" s="119"/>
      <c r="B47" s="119"/>
      <c r="C47" s="119"/>
      <c r="D47" s="119"/>
    </row>
    <row r="48" spans="1:4">
      <c r="A48" s="249" t="s">
        <v>240</v>
      </c>
      <c r="B48" s="249"/>
      <c r="C48" s="249"/>
      <c r="D48" s="249"/>
    </row>
    <row r="49" spans="1:4">
      <c r="A49" s="119"/>
      <c r="B49" s="119"/>
      <c r="C49" s="119"/>
      <c r="D49" s="119"/>
    </row>
    <row r="50" spans="1:4" ht="15" customHeight="1">
      <c r="A50" s="248" t="s">
        <v>241</v>
      </c>
      <c r="B50" s="248"/>
      <c r="C50" s="119"/>
      <c r="D50" s="119"/>
    </row>
    <row r="51" spans="1:4">
      <c r="A51" s="248"/>
      <c r="B51" s="248"/>
      <c r="C51" s="119"/>
      <c r="D51" s="119"/>
    </row>
    <row r="52" spans="1:4">
      <c r="A52" s="248"/>
      <c r="B52" s="248"/>
      <c r="C52" s="119"/>
      <c r="D52" s="119"/>
    </row>
    <row r="53" spans="1:4" ht="15" customHeight="1">
      <c r="A53" s="250"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2026-févr 2026 / Cumul janv 2025-févr 2025) + indication de l’évolution par rapport à */2024 = Cumul janv 2026-févr 2026 / Cumul janv 2024-févr 2024)
- en 3 mois glissants (Cumul déc 2025-févr 2026 / Cumul sept 2025-nov 2025 + indication de l'évolution en 6 mois glissants (Cumul sept 2025-févr 2026 / Cumul mars 2025-août 2025)</v>
      </c>
      <c r="B53" s="250"/>
      <c r="C53" s="119"/>
      <c r="D53" s="119"/>
    </row>
    <row r="54" spans="1:4">
      <c r="A54" s="250"/>
      <c r="B54" s="250"/>
      <c r="C54" s="119"/>
      <c r="D54" s="119"/>
    </row>
    <row r="55" spans="1:4">
      <c r="A55" s="250"/>
      <c r="B55" s="250"/>
      <c r="C55" s="119"/>
      <c r="D55" s="119"/>
    </row>
    <row r="56" spans="1:4">
      <c r="A56" s="250"/>
      <c r="B56" s="250"/>
      <c r="C56" s="119"/>
      <c r="D56" s="119"/>
    </row>
    <row r="57" spans="1:4">
      <c r="A57" s="250"/>
      <c r="B57" s="250"/>
      <c r="C57" s="119"/>
      <c r="D57" s="119"/>
    </row>
    <row r="58" spans="1:4">
      <c r="A58" s="250"/>
      <c r="B58" s="250"/>
      <c r="C58" s="119"/>
      <c r="D58" s="119"/>
    </row>
    <row r="59" spans="1:4">
      <c r="A59" s="119"/>
      <c r="B59" s="119"/>
      <c r="C59" s="119"/>
      <c r="D59" s="119"/>
    </row>
    <row r="60" spans="1:4" ht="15" customHeight="1">
      <c r="A60" s="251"/>
      <c r="B60" s="251"/>
      <c r="C60" s="119"/>
      <c r="D60" s="119"/>
    </row>
    <row r="61" spans="1:4">
      <c r="A61" s="251"/>
      <c r="B61" s="251"/>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topLeftCell="A3" zoomScale="90" zoomScaleNormal="90" workbookViewId="0">
      <selection activeCell="F43" sqref="F43"/>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FÉVRIER 2026 EN CUMUL DEPUIS JANVIER</v>
      </c>
      <c r="B1" s="16"/>
      <c r="C1" s="17"/>
      <c r="D1" s="17"/>
    </row>
    <row r="2" spans="1:4">
      <c r="A2" s="18"/>
      <c r="B2" s="18"/>
      <c r="C2" s="18"/>
      <c r="D2" s="18"/>
    </row>
    <row r="3" spans="1:4">
      <c r="A3" s="19" t="str" cm="1">
        <f t="array" ref="A3:A4">'A MODIFIER'!A5:A6</f>
        <v>*/2025 = Cumul janv 2026-févr 2026 / Cumul janv 2025-févr 2025</v>
      </c>
      <c r="B3" s="18"/>
      <c r="C3" s="18"/>
      <c r="D3" s="18"/>
    </row>
    <row r="4" spans="1:4">
      <c r="A4" s="19" t="str">
        <v>*/2024 = Cumul janv 2026-févr 2026 / Cumul janv 2024-févr 2024</v>
      </c>
      <c r="B4" s="18"/>
      <c r="C4" s="18"/>
      <c r="D4" s="18"/>
    </row>
    <row r="7" spans="1:4">
      <c r="A7" s="6"/>
      <c r="B7" s="7"/>
      <c r="C7" s="24" t="str">
        <f>'A MODIFIER'!A10</f>
        <v>*/2025</v>
      </c>
      <c r="D7" s="24" t="str">
        <f>'A MODIFIER'!A9</f>
        <v>*/2024</v>
      </c>
    </row>
    <row r="8" spans="1:4">
      <c r="A8" s="25" t="str" cm="1">
        <f t="array" ref="A8:D31">'DEPUIS JANVIER'!J7:M30</f>
        <v>TP12a</v>
      </c>
      <c r="B8" s="25" t="str">
        <v>Réseaux d'énergie et de communication</v>
      </c>
      <c r="C8" s="147">
        <v>3.3962264150943389E-2</v>
      </c>
      <c r="D8" s="148">
        <v>5.3440984236831968E-2</v>
      </c>
    </row>
    <row r="9" spans="1:4">
      <c r="A9" s="25" t="str">
        <v>TP07b</v>
      </c>
      <c r="B9" s="25" t="str">
        <v>Travaux de génie civil, béton et acier pour ouvrages maritimes et fluviaux</v>
      </c>
      <c r="C9" s="147">
        <v>2.9654654654654777E-2</v>
      </c>
      <c r="D9" s="148">
        <v>2.7340823970037453E-2</v>
      </c>
    </row>
    <row r="10" spans="1:4">
      <c r="A10" s="25" t="str">
        <v>TP10b</v>
      </c>
      <c r="B10" s="25" t="str">
        <v>Canalisations sans fourniture de tuyaux</v>
      </c>
      <c r="C10" s="147">
        <v>2.2011385199240951E-2</v>
      </c>
      <c r="D10" s="148">
        <v>3.6566589684372763E-2</v>
      </c>
    </row>
    <row r="11" spans="1:4">
      <c r="A11" s="25" t="str">
        <v>TP12c</v>
      </c>
      <c r="B11" s="25" t="str">
        <v>Éclairage public - Travaux  de maintenance</v>
      </c>
      <c r="C11" s="147">
        <v>2.1044427123928289E-2</v>
      </c>
      <c r="D11" s="148">
        <v>4.2163882259347529E-2</v>
      </c>
    </row>
    <row r="12" spans="1:4">
      <c r="A12" s="25" t="str">
        <v>TP12d</v>
      </c>
      <c r="B12" s="25" t="str">
        <v>Réseaux de communication en fibre optique</v>
      </c>
      <c r="C12" s="147">
        <v>2.079999999999993E-2</v>
      </c>
      <c r="D12" s="148">
        <v>1.8355945730247347E-2</v>
      </c>
    </row>
    <row r="13" spans="1:4">
      <c r="A13" s="25" t="str">
        <v>TP02</v>
      </c>
      <c r="B13" s="25" t="str">
        <v>Travaux de génie civil et d’ouvrages d’art neufs ou rénovation</v>
      </c>
      <c r="C13" s="147">
        <v>1.8141429100333228E-2</v>
      </c>
      <c r="D13" s="148">
        <v>2.7653213751868355E-2</v>
      </c>
    </row>
    <row r="14" spans="1:4">
      <c r="A14" s="25" t="str">
        <v>TP06b</v>
      </c>
      <c r="B14" s="25" t="str">
        <v>Dragages fluviaux et petits dragages maritimes</v>
      </c>
      <c r="C14" s="147">
        <v>1.6337386018237199E-2</v>
      </c>
      <c r="D14" s="148">
        <v>3.9238539238539261E-2</v>
      </c>
    </row>
    <row r="15" spans="1:4">
      <c r="A15" s="25" t="str">
        <v>TP05a</v>
      </c>
      <c r="B15" s="25" t="str">
        <v xml:space="preserve">Travaux en souterrains traditionnels </v>
      </c>
      <c r="C15" s="147">
        <v>1.5607580824971823E-2</v>
      </c>
      <c r="D15" s="148">
        <v>2.7057497181510515E-2</v>
      </c>
    </row>
    <row r="16" spans="1:4">
      <c r="A16" s="25" t="str">
        <v>TP03a</v>
      </c>
      <c r="B16" s="25" t="str">
        <v>Grands terrassements</v>
      </c>
      <c r="C16" s="147">
        <v>1.4992503748125774E-2</v>
      </c>
      <c r="D16" s="148">
        <v>3.1226199543030964E-2</v>
      </c>
    </row>
    <row r="17" spans="1:4">
      <c r="A17" s="25" t="str">
        <v>TP10f</v>
      </c>
      <c r="B17" s="25" t="str">
        <v>Canalisations, assainnissement et adduction d'eau avec fourniture de tuyaux avec fourniture de tuyaux multi-matériaux</v>
      </c>
      <c r="C17" s="147">
        <v>1.4241724403387224E-2</v>
      </c>
      <c r="D17" s="148">
        <v>9.9655040245305582E-3</v>
      </c>
    </row>
    <row r="18" spans="1:4">
      <c r="A18" s="25" t="str">
        <v>TP04</v>
      </c>
      <c r="B18" s="25" t="str">
        <v xml:space="preserve">Fondations et travaux géotechniques </v>
      </c>
      <c r="C18" s="147">
        <v>1.35849056603774E-2</v>
      </c>
      <c r="D18" s="148">
        <v>1.7424242424242564E-2</v>
      </c>
    </row>
    <row r="19" spans="1:4">
      <c r="A19" s="25" t="str">
        <v>TP13b</v>
      </c>
      <c r="B19" s="25" t="str">
        <v>Charpentes et ouvrages d'art métalliques sans fourniture des aciers</v>
      </c>
      <c r="C19" s="147">
        <v>1.3425253991291575E-2</v>
      </c>
      <c r="D19" s="148">
        <v>2.3076923076922995E-2</v>
      </c>
    </row>
    <row r="20" spans="1:4">
      <c r="A20" s="25" t="str">
        <v>TP10e</v>
      </c>
      <c r="B20" s="25" t="str">
        <v>Canalisations, assainnissement et adduction d'eau avec fourniture de tuyaux en fonte majoritaire</v>
      </c>
      <c r="C20" s="147">
        <v>1.3219284603421366E-2</v>
      </c>
      <c r="D20" s="148">
        <v>1.8764659890539548E-2</v>
      </c>
    </row>
    <row r="21" spans="1:4">
      <c r="A21" s="25" t="str">
        <v>TP10d</v>
      </c>
      <c r="B21" s="25" t="str">
        <v>Réseaux de chauffage et de froid avec fourniture de tuyaux</v>
      </c>
      <c r="C21" s="147">
        <v>1.3189448441247142E-2</v>
      </c>
      <c r="D21" s="148">
        <v>1.1976047904191711E-2</v>
      </c>
    </row>
    <row r="22" spans="1:4">
      <c r="A22" s="25" t="str">
        <v>TP05b</v>
      </c>
      <c r="B22" s="25" t="str">
        <v xml:space="preserve">Travaux en souterrains avec tunnelier </v>
      </c>
      <c r="C22" s="147">
        <v>1.2118986412045674E-2</v>
      </c>
      <c r="D22" s="148">
        <v>1.6599040944301091E-2</v>
      </c>
    </row>
    <row r="23" spans="1:4">
      <c r="A23" s="25" t="str">
        <v>TP12b</v>
      </c>
      <c r="B23" s="25" t="str">
        <v>Éclairage public -Travaux d'installation</v>
      </c>
      <c r="C23" s="147">
        <v>8.6206896551723755E-3</v>
      </c>
      <c r="D23" s="148">
        <v>7.8308535630382536E-3</v>
      </c>
    </row>
    <row r="24" spans="1:4">
      <c r="A24" s="25" t="str">
        <v>TP11</v>
      </c>
      <c r="B24" s="25" t="str">
        <v>Canalisations grandes distances de transport / transfert  avec fourniture de tuyaux</v>
      </c>
      <c r="C24" s="147">
        <v>6.5134099616859231E-3</v>
      </c>
      <c r="D24" s="148">
        <v>6.1279203370356861E-3</v>
      </c>
    </row>
    <row r="25" spans="1:4">
      <c r="A25" s="25" t="str">
        <v>TP06a</v>
      </c>
      <c r="B25" s="25" t="str">
        <v>Grands dragages maritimes </v>
      </c>
      <c r="C25" s="147">
        <v>5.7908070937386924E-3</v>
      </c>
      <c r="D25" s="148">
        <v>-1.4372978799856995E-3</v>
      </c>
    </row>
    <row r="26" spans="1:4">
      <c r="A26" s="25" t="str">
        <v>TP03b</v>
      </c>
      <c r="B26" s="25" t="str">
        <v>Travaux à l’explosif</v>
      </c>
      <c r="C26" s="147">
        <v>-4.1684035014588616E-4</v>
      </c>
      <c r="D26" s="148">
        <v>3.6300777873811585E-2</v>
      </c>
    </row>
    <row r="27" spans="1:4">
      <c r="A27" s="25" t="str">
        <v>TP01</v>
      </c>
      <c r="B27" s="25" t="str">
        <v>Index général tous travaux</v>
      </c>
      <c r="C27" s="147">
        <v>-1.8932222642937813E-3</v>
      </c>
      <c r="D27" s="148">
        <v>1.579961464354529E-2</v>
      </c>
    </row>
    <row r="28" spans="1:4">
      <c r="A28" s="25" t="str">
        <v>TP10c</v>
      </c>
      <c r="B28" s="25" t="str">
        <v>Réhabilitation de canalisations non visitables</v>
      </c>
      <c r="C28" s="147">
        <v>-1.2213740458015265E-2</v>
      </c>
      <c r="D28" s="148">
        <v>-2.3130300693907646E-3</v>
      </c>
    </row>
    <row r="29" spans="1:4">
      <c r="A29" s="25" t="str">
        <v>TP08</v>
      </c>
      <c r="B29" s="25" t="str">
        <v>Travaux d’aménagement et entretien de voirie en zones rurale et urbaine</v>
      </c>
      <c r="C29" s="147">
        <v>-2.5777103866565398E-2</v>
      </c>
      <c r="D29" s="148">
        <v>-7.776049766717863E-4</v>
      </c>
    </row>
    <row r="30" spans="1:4">
      <c r="A30" s="26" t="str">
        <v>TP13a</v>
      </c>
      <c r="B30" s="26" t="str">
        <v>Charpentes et ouvrages d'art métalliques</v>
      </c>
      <c r="C30" s="221">
        <v>-2.8814669286181926E-2</v>
      </c>
      <c r="D30" s="221">
        <v>-2.0475561426684274E-2</v>
      </c>
    </row>
    <row r="31" spans="1:4">
      <c r="A31" s="8" t="str">
        <v>TP09</v>
      </c>
      <c r="B31" s="8" t="str">
        <v>Fabrication et mise en œuvre d’enrobés </v>
      </c>
      <c r="C31" s="221">
        <v>-8.2191780821917693E-2</v>
      </c>
      <c r="D31" s="221">
        <v>-2.9766693483507689E-2</v>
      </c>
    </row>
  </sheetData>
  <sheetProtection algorithmName="SHA-512" hashValue="gX7lh5jFZfKCigyShbX3D67YLvSD/WYTdZbr/aLrcQAIZavIlhQMpgONinHTIc5Fqka8RWbfYqRkIO/xzXebQQ==" saltValue="RKf+XLzyPOA3mbQu0+1AuQ==" spinCount="100000" sheet="1" objects="1" scenarios="1"/>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B36" sqref="B3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déc 2025-févr 2026 / Cumul sept 2025-nov 2025</v>
      </c>
      <c r="B3" s="27"/>
      <c r="C3" s="156"/>
      <c r="D3" s="156"/>
    </row>
    <row r="4" spans="1:4">
      <c r="A4" s="12" t="str">
        <v>*6 mois = Cumul sept 2025-févr 2026 / Cumul mars 2025-août 2025</v>
      </c>
      <c r="B4" s="27"/>
      <c r="C4" s="156"/>
      <c r="D4" s="156"/>
    </row>
    <row r="7" spans="1:4">
      <c r="A7" s="26"/>
      <c r="B7" s="23"/>
      <c r="C7" s="152" t="str">
        <f>'A MODIFIER'!A11</f>
        <v>*3 mois</v>
      </c>
      <c r="D7" s="152" t="str">
        <f>'A MODIFIER'!A12</f>
        <v>*6 mois</v>
      </c>
    </row>
    <row r="8" spans="1:4">
      <c r="A8" s="9" t="str" cm="1">
        <f t="array" ref="A8:D31">'3-6 MOIS GLISSANTS'!J9:M32</f>
        <v>TP13b</v>
      </c>
      <c r="B8" s="8" t="str">
        <v>Charpentes et ouvrages d'art métalliques sans fourniture des aciers</v>
      </c>
      <c r="C8" s="152">
        <v>1.9775390625E-2</v>
      </c>
      <c r="D8" s="152">
        <v>1.5590473852197251E-2</v>
      </c>
    </row>
    <row r="9" spans="1:4">
      <c r="A9" s="8" t="str">
        <v>TP12a</v>
      </c>
      <c r="B9" s="8" t="str">
        <v>Réseaux d'énergie et de communication</v>
      </c>
      <c r="C9" s="152">
        <v>1.7950635751682986E-2</v>
      </c>
      <c r="D9" s="152">
        <v>1.5430937147158597E-2</v>
      </c>
    </row>
    <row r="10" spans="1:4">
      <c r="A10" s="8" t="str">
        <v>TP03b</v>
      </c>
      <c r="B10" s="8" t="str">
        <v>Travaux à l’explosif</v>
      </c>
      <c r="C10" s="152">
        <v>1.5043996593812059E-2</v>
      </c>
      <c r="D10" s="152">
        <v>9.8702763677382954E-4</v>
      </c>
    </row>
    <row r="11" spans="1:4">
      <c r="A11" s="8" t="str">
        <v>TP05b</v>
      </c>
      <c r="B11" s="8" t="str">
        <v xml:space="preserve">Travaux en souterrains avec tunnelier </v>
      </c>
      <c r="C11" s="152">
        <v>1.3779527559055094E-2</v>
      </c>
      <c r="D11" s="152">
        <v>8.2542811383516934E-3</v>
      </c>
    </row>
    <row r="12" spans="1:4">
      <c r="A12" s="8" t="str">
        <v>TP12d</v>
      </c>
      <c r="B12" s="8" t="str">
        <v>Réseaux de communication en fibre optique</v>
      </c>
      <c r="C12" s="152">
        <v>1.2211308733740545E-2</v>
      </c>
      <c r="D12" s="152">
        <v>1.5949604610641988E-2</v>
      </c>
    </row>
    <row r="13" spans="1:4">
      <c r="A13" s="8" t="str">
        <v>TP07b</v>
      </c>
      <c r="B13" s="8" t="str">
        <v>Travaux de génie civil, béton et acier pour ouvrages maritimes et fluviaux</v>
      </c>
      <c r="C13" s="152">
        <v>1.1625030917635337E-2</v>
      </c>
      <c r="D13" s="152">
        <v>6.9332673022159952E-3</v>
      </c>
    </row>
    <row r="14" spans="1:4">
      <c r="A14" s="8" t="str">
        <v>TP04</v>
      </c>
      <c r="B14" s="8" t="str">
        <v xml:space="preserve">Fondations et travaux géotechniques </v>
      </c>
      <c r="C14" s="152">
        <v>1.1346444780635512E-2</v>
      </c>
      <c r="D14" s="152">
        <v>5.0396875393723395E-3</v>
      </c>
    </row>
    <row r="15" spans="1:4">
      <c r="A15" s="8" t="str">
        <v>TP05a</v>
      </c>
      <c r="B15" s="8" t="str">
        <v xml:space="preserve">Travaux en souterrains traditionnels </v>
      </c>
      <c r="C15" s="152">
        <v>1.0638297872340496E-2</v>
      </c>
      <c r="D15" s="152">
        <v>6.9384215091063961E-3</v>
      </c>
    </row>
    <row r="16" spans="1:4">
      <c r="A16" s="132" t="str">
        <v>TP02</v>
      </c>
      <c r="B16" s="132" t="str">
        <v>Travaux de génie civil et d’ouvrages d’art neufs ou rénovation</v>
      </c>
      <c r="C16" s="152">
        <v>9.5776031434184894E-3</v>
      </c>
      <c r="D16" s="152">
        <v>7.6345277675162748E-3</v>
      </c>
    </row>
    <row r="17" spans="1:7">
      <c r="A17" s="8" t="str">
        <v>TP03a</v>
      </c>
      <c r="B17" s="8" t="str">
        <v>Grands terrassements</v>
      </c>
      <c r="C17" s="152">
        <v>8.7412587412585285E-3</v>
      </c>
      <c r="D17" s="152">
        <v>8.0210552700838988E-3</v>
      </c>
    </row>
    <row r="18" spans="1:7">
      <c r="A18" s="8" t="str">
        <v>TP10b</v>
      </c>
      <c r="B18" s="8" t="str">
        <v>Canalisations sans fourniture de tuyaux</v>
      </c>
      <c r="C18" s="152">
        <v>8.2644628099173278E-3</v>
      </c>
      <c r="D18" s="152">
        <v>8.5523833480065647E-3</v>
      </c>
    </row>
    <row r="19" spans="1:7">
      <c r="A19" s="8" t="str">
        <v>TP06b</v>
      </c>
      <c r="B19" s="8" t="str">
        <v>Dragages fluviaux et petits dragages maritimes</v>
      </c>
      <c r="C19" s="152">
        <v>7.5853350189634128E-3</v>
      </c>
      <c r="D19" s="152">
        <v>1.0949834479246023E-2</v>
      </c>
    </row>
    <row r="20" spans="1:7">
      <c r="A20" s="8" t="str">
        <v>TP12c</v>
      </c>
      <c r="B20" s="8" t="str">
        <v>Éclairage public - Travaux  de maintenance</v>
      </c>
      <c r="C20" s="152">
        <v>5.6410256410255322E-3</v>
      </c>
      <c r="D20" s="152">
        <v>8.8997807300401632E-3</v>
      </c>
      <c r="G20" s="151"/>
    </row>
    <row r="21" spans="1:7">
      <c r="A21" s="8" t="str">
        <v>TP13a</v>
      </c>
      <c r="B21" s="8" t="str">
        <v>Charpentes et ouvrages d'art métalliques</v>
      </c>
      <c r="C21" s="152">
        <v>4.9538392253996033E-3</v>
      </c>
      <c r="D21" s="152">
        <v>-8.4632516703786465E-3</v>
      </c>
    </row>
    <row r="22" spans="1:7">
      <c r="A22" s="8" t="str">
        <v>TP01</v>
      </c>
      <c r="B22" s="8" t="str">
        <v>Index général tous travaux</v>
      </c>
      <c r="C22" s="152">
        <v>4.8469387755103455E-3</v>
      </c>
      <c r="D22" s="152">
        <v>-1.016906063302514E-3</v>
      </c>
    </row>
    <row r="23" spans="1:7">
      <c r="A23" s="8" t="str">
        <v>TP10f</v>
      </c>
      <c r="B23" s="8" t="str">
        <v>Canalisations, assainnissement et adduction d'eau avec fourniture de tuyaux avec fourniture de tuyaux multi-matériaux</v>
      </c>
      <c r="C23" s="152">
        <v>4.5918367346939881E-3</v>
      </c>
      <c r="D23" s="152">
        <v>4.4739869615237904E-3</v>
      </c>
    </row>
    <row r="24" spans="1:7">
      <c r="A24" s="8" t="str">
        <v>TP10e</v>
      </c>
      <c r="B24" s="8" t="str">
        <v>Canalisations, assainnissement et adduction d'eau avec fourniture de tuyaux en fonte majoritaire</v>
      </c>
      <c r="C24" s="152">
        <v>3.3470648815656645E-3</v>
      </c>
      <c r="D24" s="152">
        <v>1.8024977468777958E-3</v>
      </c>
    </row>
    <row r="25" spans="1:7">
      <c r="A25" s="8" t="str">
        <v>TP06a</v>
      </c>
      <c r="B25" s="8" t="str">
        <v>Grands dragages maritimes </v>
      </c>
      <c r="C25" s="152">
        <v>3.1538088306648504E-3</v>
      </c>
      <c r="D25" s="152">
        <v>1.1763264305844956E-2</v>
      </c>
    </row>
    <row r="26" spans="1:7">
      <c r="A26" s="8" t="str">
        <v>TP10d</v>
      </c>
      <c r="B26" s="8" t="str">
        <v>Réseaux de chauffage et de froid avec fourniture de tuyaux</v>
      </c>
      <c r="C26" s="152">
        <v>2.1152829190902445E-3</v>
      </c>
      <c r="D26" s="152">
        <v>5.9784774810680563E-3</v>
      </c>
    </row>
    <row r="27" spans="1:7">
      <c r="A27" s="8" t="str">
        <v>TP12b</v>
      </c>
      <c r="B27" s="8" t="str">
        <v>Éclairage public -Travaux d'installation</v>
      </c>
      <c r="C27" s="152">
        <v>7.796257796259809E-4</v>
      </c>
      <c r="D27" s="152">
        <v>2.4739583333333037E-3</v>
      </c>
    </row>
    <row r="28" spans="1:7">
      <c r="A28" s="8" t="str">
        <v>TP11</v>
      </c>
      <c r="B28" s="8" t="str">
        <v>Canalisations grandes distances de transport / transfert  avec fourniture de tuyaux</v>
      </c>
      <c r="C28" s="152">
        <v>5.0903537795865539E-4</v>
      </c>
      <c r="D28" s="152">
        <v>-3.4233548877901088E-3</v>
      </c>
    </row>
    <row r="29" spans="1:7">
      <c r="A29" s="8" t="str">
        <v>TP08</v>
      </c>
      <c r="B29" s="8" t="str">
        <v>Travaux d’aménagement et entretien de voirie en zones rurale et urbaine</v>
      </c>
      <c r="C29" s="152">
        <v>0</v>
      </c>
      <c r="D29" s="152">
        <v>-1.1056826947801413E-2</v>
      </c>
    </row>
    <row r="30" spans="1:7">
      <c r="A30" s="8" t="str">
        <v>TP10c</v>
      </c>
      <c r="B30" s="8" t="str">
        <v>Réhabilitation de canalisations non visitables</v>
      </c>
      <c r="C30" s="152">
        <v>-3.3453422542459865E-3</v>
      </c>
      <c r="D30" s="152">
        <v>-1.1718252451916822E-2</v>
      </c>
    </row>
    <row r="31" spans="1:7">
      <c r="A31" s="8" t="str">
        <v>TP09</v>
      </c>
      <c r="B31" s="8" t="str">
        <v>Fabrication et mise en œuvre d’enrobés </v>
      </c>
      <c r="C31" s="154">
        <v>-1.4172799127827762E-2</v>
      </c>
      <c r="D31" s="154">
        <v>-3.9673125082377636E-2</v>
      </c>
    </row>
  </sheetData>
  <sheetProtection algorithmName="SHA-512" hashValue="K3xpXZxz1BI2zxzfRnyhex8PT/+fpPxRK7+t9bLdle5JtPRfGP39e5P8VjgsT5iBLKCEE+XwJSOB3V7fP8wMFg==" saltValue="ZonsZLkWo3/jTjKjwEeqqQ==" spinCount="100000" sheet="1" objects="1" scenarios="1"/>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40"/>
  <sheetViews>
    <sheetView zoomScale="90" zoomScaleNormal="90" workbookViewId="0">
      <pane xSplit="1" ySplit="3" topLeftCell="B121" activePane="bottomRight" state="frozen"/>
      <selection activeCell="A37" sqref="A37"/>
      <selection pane="topRight" activeCell="A37" sqref="A37"/>
      <selection pane="bottomLeft" activeCell="A37" sqref="A37"/>
      <selection pane="bottomRight" activeCell="G155" sqref="G155"/>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275</v>
      </c>
      <c r="L1" t="s">
        <v>349</v>
      </c>
      <c r="M1" t="s">
        <v>9</v>
      </c>
      <c r="N1" t="s">
        <v>10</v>
      </c>
      <c r="O1" t="s">
        <v>11</v>
      </c>
      <c r="P1" t="s">
        <v>12</v>
      </c>
      <c r="Q1" t="s">
        <v>276</v>
      </c>
      <c r="R1" t="s">
        <v>277</v>
      </c>
      <c r="S1" t="s">
        <v>13</v>
      </c>
      <c r="T1" t="s">
        <v>14</v>
      </c>
      <c r="U1" t="s">
        <v>15</v>
      </c>
      <c r="V1" t="s">
        <v>16</v>
      </c>
      <c r="W1" t="s">
        <v>17</v>
      </c>
      <c r="X1" t="s">
        <v>278</v>
      </c>
      <c r="Y1" t="s">
        <v>273</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274</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89">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89">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89">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89">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89">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89">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89">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89">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89">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89">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89">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89">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89">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89">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89">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89">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89">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89">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89">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89">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89">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89">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89">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89">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89">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89">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89">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89">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89">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89">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89">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89">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89">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89">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89">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89">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89">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89">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89">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89">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89">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89">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89">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89">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89">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89">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89">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89">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89">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89">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89">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89">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89">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89">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89">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89">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89">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89">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89">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89">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89">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89">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89">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89">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89">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89">
        <v>111.3</v>
      </c>
      <c r="S69">
        <v>105</v>
      </c>
      <c r="T69">
        <v>112.6</v>
      </c>
      <c r="U69">
        <v>108.3</v>
      </c>
      <c r="V69">
        <v>114.7</v>
      </c>
      <c r="W69">
        <v>115.4</v>
      </c>
      <c r="X69">
        <v>112.9</v>
      </c>
      <c r="Y69" t="e">
        <v>#N/A</v>
      </c>
    </row>
    <row r="70" spans="1:25">
      <c r="A70" s="1">
        <f t="shared" ref="A70:A140"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89">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89">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89">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89">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89">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89">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89">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89">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89">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89">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89">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89">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89">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89">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89">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89">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89">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89">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89">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89">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89">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89">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89">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89">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89">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89">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89">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89">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89">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89">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89">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89">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89">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89">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89">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89">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89">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89">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89">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89">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89">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89">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89">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89">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89">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89">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8">
        <v>130.69999999999999</v>
      </c>
      <c r="C135" s="168">
        <v>135.69999999999999</v>
      </c>
      <c r="D135" s="168">
        <v>133.4</v>
      </c>
      <c r="E135" s="168">
        <v>117</v>
      </c>
      <c r="F135" s="168">
        <v>132.19999999999999</v>
      </c>
      <c r="G135" s="168">
        <v>134.6</v>
      </c>
      <c r="H135" s="168">
        <v>135.30000000000001</v>
      </c>
      <c r="I135" s="168">
        <v>136.80000000000001</v>
      </c>
      <c r="J135" s="168">
        <v>131.80000000000001</v>
      </c>
      <c r="K135" s="168">
        <v>134.9</v>
      </c>
      <c r="L135" s="168">
        <v>128.19999999999999</v>
      </c>
      <c r="M135" s="168">
        <v>122.6</v>
      </c>
      <c r="N135" s="168">
        <v>132.9</v>
      </c>
      <c r="O135" s="168">
        <v>129.69999999999999</v>
      </c>
      <c r="P135" s="168">
        <v>125.8</v>
      </c>
      <c r="Q135" s="168">
        <v>129.6</v>
      </c>
      <c r="R135" s="168">
        <v>130.80000000000001</v>
      </c>
      <c r="S135" s="168">
        <v>131.30000000000001</v>
      </c>
      <c r="T135" s="168">
        <v>133.6</v>
      </c>
      <c r="U135" s="168">
        <v>128.19999999999999</v>
      </c>
      <c r="V135" s="168">
        <v>129.9</v>
      </c>
      <c r="W135" s="168">
        <v>125.6</v>
      </c>
      <c r="X135" s="168">
        <v>151.80000000000001</v>
      </c>
      <c r="Y135" s="168">
        <v>136.1</v>
      </c>
    </row>
    <row r="136" spans="1:25">
      <c r="A136" s="1">
        <f t="shared" si="1"/>
        <v>45931</v>
      </c>
      <c r="B136">
        <v>130.5</v>
      </c>
      <c r="C136">
        <v>135.69999999999999</v>
      </c>
      <c r="D136">
        <v>133.30000000000001</v>
      </c>
      <c r="E136">
        <v>117</v>
      </c>
      <c r="F136">
        <v>132.1</v>
      </c>
      <c r="G136">
        <v>134.69999999999999</v>
      </c>
      <c r="H136">
        <v>135.4</v>
      </c>
      <c r="I136">
        <v>136.69999999999999</v>
      </c>
      <c r="J136">
        <v>131.6</v>
      </c>
      <c r="K136">
        <v>134.69999999999999</v>
      </c>
      <c r="L136">
        <v>128</v>
      </c>
      <c r="M136">
        <v>121.7</v>
      </c>
      <c r="N136">
        <v>133.1</v>
      </c>
      <c r="O136">
        <v>129.80000000000001</v>
      </c>
      <c r="P136">
        <v>126</v>
      </c>
      <c r="Q136">
        <v>129.4</v>
      </c>
      <c r="R136">
        <v>130.5</v>
      </c>
      <c r="S136">
        <v>130.9</v>
      </c>
      <c r="T136">
        <v>133.5</v>
      </c>
      <c r="U136">
        <v>128.19999999999999</v>
      </c>
      <c r="V136">
        <v>130</v>
      </c>
      <c r="W136">
        <v>125.4</v>
      </c>
      <c r="X136">
        <v>145.6</v>
      </c>
      <c r="Y136">
        <v>136.4</v>
      </c>
    </row>
    <row r="137" spans="1:25">
      <c r="A137" s="1">
        <f t="shared" si="1"/>
        <v>45962</v>
      </c>
      <c r="B137">
        <v>130.80000000000001</v>
      </c>
      <c r="C137">
        <v>135.80000000000001</v>
      </c>
      <c r="D137">
        <v>133.69999999999999</v>
      </c>
      <c r="E137">
        <v>118.3</v>
      </c>
      <c r="F137">
        <v>132.30000000000001</v>
      </c>
      <c r="G137">
        <v>134.9</v>
      </c>
      <c r="H137">
        <v>135.69999999999999</v>
      </c>
      <c r="I137">
        <v>138.69999999999999</v>
      </c>
      <c r="J137">
        <v>132.1</v>
      </c>
      <c r="K137">
        <v>134.69999999999999</v>
      </c>
      <c r="L137">
        <v>128.4</v>
      </c>
      <c r="M137">
        <v>122.6</v>
      </c>
      <c r="N137">
        <v>133.30000000000001</v>
      </c>
      <c r="O137">
        <v>129.1</v>
      </c>
      <c r="P137">
        <v>126.4</v>
      </c>
      <c r="Q137">
        <v>129.4</v>
      </c>
      <c r="R137">
        <v>130.69999999999999</v>
      </c>
      <c r="S137">
        <v>130.69999999999999</v>
      </c>
      <c r="T137">
        <v>134</v>
      </c>
      <c r="U137">
        <v>128.4</v>
      </c>
      <c r="V137">
        <v>130.1</v>
      </c>
      <c r="W137">
        <v>125.7</v>
      </c>
      <c r="X137">
        <v>146.69999999999999</v>
      </c>
      <c r="Y137">
        <v>137.1</v>
      </c>
    </row>
    <row r="138" spans="1:25">
      <c r="A138" s="1">
        <f t="shared" si="1"/>
        <v>45992</v>
      </c>
      <c r="B138">
        <v>130.30000000000001</v>
      </c>
      <c r="C138">
        <v>136.1</v>
      </c>
      <c r="D138">
        <v>133.1</v>
      </c>
      <c r="E138">
        <v>117.8</v>
      </c>
      <c r="F138">
        <v>132.5</v>
      </c>
      <c r="G138">
        <v>135.19999999999999</v>
      </c>
      <c r="H138">
        <v>136.4</v>
      </c>
      <c r="I138">
        <v>135.6</v>
      </c>
      <c r="J138">
        <v>131</v>
      </c>
      <c r="K138">
        <v>134.69999999999999</v>
      </c>
      <c r="L138">
        <v>127.6</v>
      </c>
      <c r="M138">
        <v>120.5</v>
      </c>
      <c r="N138">
        <v>133.30000000000001</v>
      </c>
      <c r="O138">
        <v>128.5</v>
      </c>
      <c r="P138">
        <v>125.5</v>
      </c>
      <c r="Q138">
        <v>129.1</v>
      </c>
      <c r="R138">
        <v>130.30000000000001</v>
      </c>
      <c r="S138">
        <v>130.4</v>
      </c>
      <c r="T138">
        <v>134.30000000000001</v>
      </c>
      <c r="U138">
        <v>127.7</v>
      </c>
      <c r="V138">
        <v>130.19999999999999</v>
      </c>
      <c r="W138">
        <v>126.1</v>
      </c>
      <c r="X138">
        <v>149.69999999999999</v>
      </c>
      <c r="Y138">
        <v>138.4</v>
      </c>
    </row>
    <row r="139" spans="1:25">
      <c r="A139" s="1">
        <f t="shared" si="1"/>
        <v>46023</v>
      </c>
      <c r="B139" s="171">
        <v>131.4</v>
      </c>
      <c r="C139" s="29">
        <v>137.5</v>
      </c>
      <c r="D139" s="29">
        <v>135.1</v>
      </c>
      <c r="E139" s="29">
        <v>119.7</v>
      </c>
      <c r="F139" s="29">
        <v>134.30000000000001</v>
      </c>
      <c r="G139" s="29">
        <v>136.69999999999999</v>
      </c>
      <c r="H139" s="29">
        <v>138</v>
      </c>
      <c r="I139" s="29">
        <v>138.6</v>
      </c>
      <c r="J139" s="29">
        <v>133.5</v>
      </c>
      <c r="K139" s="29">
        <v>136.80000000000001</v>
      </c>
      <c r="L139" s="29">
        <v>127.8</v>
      </c>
      <c r="M139" s="29">
        <v>119.5</v>
      </c>
      <c r="N139" s="29">
        <v>134.4</v>
      </c>
      <c r="O139" s="29">
        <v>129.30000000000001</v>
      </c>
      <c r="P139" s="29">
        <v>127.2</v>
      </c>
      <c r="Q139" s="29">
        <v>130</v>
      </c>
      <c r="R139" s="29">
        <v>131.4</v>
      </c>
      <c r="S139" s="29">
        <v>130.9</v>
      </c>
      <c r="T139" s="29">
        <v>136.4</v>
      </c>
      <c r="U139" s="29">
        <v>129.80000000000001</v>
      </c>
      <c r="V139" s="29">
        <v>131.19999999999999</v>
      </c>
      <c r="W139" s="29">
        <v>127.4</v>
      </c>
      <c r="X139" s="29">
        <v>147.69999999999999</v>
      </c>
      <c r="Y139" s="29">
        <v>139.69999999999999</v>
      </c>
    </row>
    <row r="140" spans="1:25">
      <c r="A140" s="1">
        <f t="shared" si="1"/>
        <v>46054</v>
      </c>
      <c r="B140">
        <v>132.19999999999999</v>
      </c>
      <c r="C140">
        <v>137.5</v>
      </c>
      <c r="D140">
        <v>135.69999999999999</v>
      </c>
      <c r="E140">
        <v>120.1</v>
      </c>
      <c r="F140">
        <v>134.30000000000001</v>
      </c>
      <c r="G140">
        <v>136.6</v>
      </c>
      <c r="H140">
        <v>137.6</v>
      </c>
      <c r="I140">
        <v>139.30000000000001</v>
      </c>
      <c r="J140">
        <v>134</v>
      </c>
      <c r="K140">
        <v>137.5</v>
      </c>
      <c r="L140">
        <v>129.19999999999999</v>
      </c>
      <c r="M140">
        <v>121.7</v>
      </c>
      <c r="N140">
        <v>134.9</v>
      </c>
      <c r="O140">
        <v>129.5</v>
      </c>
      <c r="P140">
        <v>126.3</v>
      </c>
      <c r="Q140">
        <v>130.6</v>
      </c>
      <c r="R140">
        <v>132.1</v>
      </c>
      <c r="S140">
        <v>131.80000000000001</v>
      </c>
      <c r="T140">
        <v>137.6</v>
      </c>
      <c r="U140">
        <v>127.6</v>
      </c>
      <c r="V140">
        <v>130.80000000000001</v>
      </c>
      <c r="W140">
        <v>127.8</v>
      </c>
      <c r="X140">
        <v>148.9</v>
      </c>
      <c r="Y140">
        <v>139.6</v>
      </c>
    </row>
  </sheetData>
  <sheetProtection algorithmName="SHA-512" hashValue="agMPjO8Ml1ajYKyiqJVZA3d2ChlsWPQlBX1jzoPiLHpzj5JatvBqOW/u/7M6d+bsFwe1i4fmOxuLTSnGUUp0Ww==" saltValue="Vhl/f3M2dtwb3g8mGaZb4w=="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T7" sqref="T7"/>
    </sheetView>
  </sheetViews>
  <sheetFormatPr baseColWidth="10" defaultRowHeight="15"/>
  <cols>
    <col min="1" max="1" width="21.85546875" customWidth="1"/>
  </cols>
  <sheetData>
    <row r="1" spans="1:16">
      <c r="A1" s="247" t="str">
        <f>"EVOLUTION DES INDEX ET INDICES TP A FIN "&amp;'A MODIFIER'!B4&amp;" EN CUMUL DEPUIS JANVIER"</f>
        <v>EVOLUTION DES INDEX ET INDICES TP A FIN FÉVRIER 2026 EN CUMUL DEPUIS JANVIER</v>
      </c>
      <c r="B1" s="247"/>
      <c r="C1" s="247"/>
      <c r="D1" s="247"/>
      <c r="E1" s="247"/>
      <c r="F1" s="247"/>
      <c r="G1" s="247"/>
      <c r="H1" s="247"/>
      <c r="I1" s="247"/>
      <c r="J1" s="247"/>
      <c r="K1" s="247"/>
      <c r="L1" s="247"/>
      <c r="M1" s="247"/>
      <c r="N1" s="247"/>
      <c r="O1" s="247"/>
    </row>
    <row r="2" spans="1:16">
      <c r="A2" s="12" t="str">
        <f>'A MODIFIER'!A5</f>
        <v>*/2025 = Cumul janv 2026-févr 2026 / Cumul janv 2025-févr 2025</v>
      </c>
      <c r="C2" s="12"/>
      <c r="D2" s="12"/>
      <c r="E2" s="12"/>
      <c r="F2" s="12"/>
      <c r="G2" s="12"/>
      <c r="H2" s="12"/>
      <c r="K2" s="12" t="str">
        <f>'A MODIFIER'!A6</f>
        <v>*/2024 = Cumul janv 2026-févr 2026 / Cumul janv 2024-févr 2024</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61" t="str">
        <f>B4&amp;" - "&amp;VLOOKUP(B4,'NOMS INDEX'!A1:B26,2,FALSE)</f>
        <v>TP02 - Travaux de génie civil et d’ouvrages d’art neufs ou rénovation</v>
      </c>
      <c r="G4" s="261"/>
      <c r="H4" s="261"/>
      <c r="I4" s="261"/>
      <c r="J4" s="261"/>
      <c r="K4" s="261"/>
      <c r="L4" s="261"/>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9" t="str">
        <f>"Composition globale du "&amp;B4</f>
        <v>Composition globale du TP02</v>
      </c>
      <c r="L6" s="259"/>
      <c r="M6" s="259"/>
      <c r="N6" s="259"/>
      <c r="O6" s="259"/>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*/2024</v>
      </c>
      <c r="I8" s="52" t="str">
        <f>'A MODIFIER'!A10</f>
        <v>*/2025</v>
      </c>
      <c r="J8" s="11"/>
      <c r="K8" s="11"/>
      <c r="L8" s="11"/>
      <c r="M8" s="11"/>
      <c r="N8" s="11"/>
    </row>
    <row r="9" spans="1:16">
      <c r="A9" s="53"/>
      <c r="B9" s="54"/>
      <c r="C9" s="54"/>
      <c r="D9" s="11"/>
      <c r="E9" s="11"/>
      <c r="F9" s="11"/>
      <c r="G9" s="55" t="s">
        <v>19</v>
      </c>
      <c r="H9" s="157">
        <f>VLOOKUP(G9,'EVOL INDEX DEPUIS JANVIER'!A8:D30,4,FALSE)</f>
        <v>1.579961464354529E-2</v>
      </c>
      <c r="I9" s="157">
        <f>VLOOKUP(G9,'EVOL INDEX DEPUIS JANVIER'!A8:D30,3,FALSE)</f>
        <v>-1.8932222642937813E-3</v>
      </c>
      <c r="J9" s="52"/>
      <c r="K9" s="11"/>
      <c r="L9" s="11"/>
      <c r="M9" s="11"/>
      <c r="N9" s="11"/>
      <c r="P9" s="4"/>
    </row>
    <row r="10" spans="1:16">
      <c r="A10" s="11"/>
      <c r="B10" s="11"/>
      <c r="C10" s="11"/>
      <c r="D10" s="11"/>
      <c r="E10" s="11"/>
      <c r="F10" s="11"/>
      <c r="G10" s="57" t="str">
        <f>B4</f>
        <v>TP02</v>
      </c>
      <c r="H10" s="158">
        <f>VLOOKUP(G10,'EVOL INDEX DEPUIS JANVIER'!A8:D31,4,FALSE)</f>
        <v>2.7653213751868355E-2</v>
      </c>
      <c r="I10" s="158">
        <f>VLOOKUP(G10,'EVOL INDEX DEPUIS JANVIER'!A8:D31,3,FALSE)</f>
        <v>1.8141429100333228E-2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7" t="str">
        <f>"Part du "&amp;B4&amp;" dans le TP01"</f>
        <v>Part du TP02 dans le TP01</v>
      </c>
      <c r="H12" s="247"/>
      <c r="I12" s="247"/>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0" t="s">
        <v>161</v>
      </c>
      <c r="B18" s="260"/>
      <c r="C18" s="260"/>
      <c r="D18" s="260"/>
      <c r="E18" s="260"/>
      <c r="F18" s="260"/>
      <c r="G18" s="260"/>
      <c r="H18" s="260"/>
      <c r="I18" s="260"/>
      <c r="J18" s="260"/>
      <c r="K18" s="260"/>
      <c r="L18" s="260"/>
      <c r="M18" s="260"/>
      <c r="N18" s="260"/>
      <c r="O18" s="260"/>
    </row>
    <row r="19" spans="1:15" s="163" customFormat="1" ht="20.25" customHeight="1">
      <c r="A19" s="162"/>
      <c r="B19" s="162"/>
      <c r="C19" s="162"/>
      <c r="D19" s="162"/>
      <c r="E19" s="162"/>
      <c r="F19" s="258" t="str">
        <f>'A MODIFIER'!A10</f>
        <v>*/2025</v>
      </c>
      <c r="G19" s="258"/>
      <c r="H19" s="162"/>
      <c r="I19" s="162"/>
      <c r="J19" s="162"/>
      <c r="K19" s="162"/>
      <c r="L19" s="162"/>
      <c r="M19" s="162"/>
      <c r="N19" s="162"/>
    </row>
    <row r="20" spans="1:15" ht="24">
      <c r="A20" s="60"/>
      <c r="B20" s="61" t="str">
        <f>'A MODIFIER'!A9</f>
        <v>*/2024</v>
      </c>
      <c r="C20" s="61" t="str">
        <f>'A MODIFIER'!A10</f>
        <v>*/2025</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2.0556227327690468E-2</v>
      </c>
      <c r="C21" s="63">
        <f>INDEX('DEPUIS JANVIER'!B45:E85,MATCH('RESULTATS DEPUIS JANVIER'!A21,'DEPUIS JANVIER'!C45:C85,0),MATCH(C20,'DEPUIS JANVIER'!B44:E44,0))</f>
        <v>1.6459253311922994E-2</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6.9381598793363697E-2</v>
      </c>
      <c r="C22" s="63">
        <f>INDEX('DEPUIS JANVIER'!B45:E85,MATCH('RESULTATS DEPUIS JANVIER'!A22,'DEPUIS JANVIER'!C45:C85,0),MATCH(C20,'DEPUIS JANVIER'!B44:E44,0))</f>
        <v>3.2774945375090958E-2</v>
      </c>
      <c r="D22" s="64">
        <f>INDEX(compo_index,MATCH('RESULTATS DEPUIS JANVIER'!B4,'COMPOSITION INDEX'!A1:A27,0),MATCH(A22,'COMPOSITION INDEX'!A2:AR2,0))</f>
        <v>0.5</v>
      </c>
      <c r="E22" s="11"/>
      <c r="F22" s="11"/>
      <c r="G22" s="11"/>
      <c r="H22" s="11"/>
      <c r="I22" s="11"/>
      <c r="J22" s="11"/>
      <c r="K22" s="11"/>
      <c r="L22" s="11"/>
      <c r="M22" s="11"/>
      <c r="N22" s="11"/>
    </row>
    <row r="23" spans="1:15">
      <c r="A23" s="65" t="s">
        <v>316</v>
      </c>
      <c r="B23" s="63">
        <f>INDEX('DEPUIS JANVIER'!B45:E85,MATCH('RESULTATS DEPUIS JANVIER'!A23,'DEPUIS JANVIER'!C45:C85,0),MATCH(B20,'DEPUIS JANVIER'!B44:E44,0))</f>
        <v>2.7072192513368787E-2</v>
      </c>
      <c r="C23" s="63">
        <f>INDEX('DEPUIS JANVIER'!B45:E85,MATCH('RESULTATS DEPUIS JANVIER'!A23,'DEPUIS JANVIER'!C45:C85,0),MATCH(C20,'DEPUIS JANVIER'!B44:E44,0))</f>
        <v>-1.7268947873361196E-2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-6.3780068728522377E-2</v>
      </c>
      <c r="C24" s="63">
        <f>INDEX('DEPUIS JANVIER'!B45:E85,MATCH('RESULTATS DEPUIS JANVIER'!A24,'DEPUIS JANVIER'!C45:C85,0),MATCH(C20,'DEPUIS JANVIER'!B44:E44,0))</f>
        <v>-2.3978982565082463E-2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1.1082693947144007E-2</v>
      </c>
      <c r="C25" s="63">
        <f>INDEX('DEPUIS JANVIER'!B45:E85,MATCH('RESULTATS DEPUIS JANVIER'!A25,'DEPUIS JANVIER'!C45:C85,0),MATCH(C20,'DEPUIS JANVIER'!B44:E44,0))</f>
        <v>1.6891891891890332E-3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1.3709677419354804E-2</v>
      </c>
      <c r="C26" s="63">
        <f>INDEX('DEPUIS JANVIER'!B45:E85,MATCH('DONNEES CUMULS DEPUIS JANVIER'!H10,'DEPUIS JANVIER'!C45:C85,0),MATCH(C20,'DEPUIS JANVIER'!B44:E44,0))</f>
        <v>1.7813765182186359E-2</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0" t="str">
        <f>"Evolution des indices spécifiques au "&amp;B4</f>
        <v>Evolution des indices spécifiques au TP02</v>
      </c>
      <c r="B30" s="260"/>
      <c r="C30" s="260"/>
      <c r="D30" s="260"/>
      <c r="E30" s="260"/>
      <c r="F30" s="260"/>
      <c r="G30" s="260"/>
      <c r="H30" s="260"/>
      <c r="I30" s="260"/>
      <c r="J30" s="260"/>
      <c r="K30" s="260"/>
      <c r="L30" s="260"/>
      <c r="M30" s="260"/>
      <c r="N30" s="260"/>
      <c r="O30" s="260"/>
    </row>
    <row r="31" spans="1:15" ht="24">
      <c r="A31" s="257" t="s">
        <v>177</v>
      </c>
      <c r="B31" s="257"/>
      <c r="C31" s="257"/>
      <c r="D31" s="257"/>
      <c r="E31" s="257"/>
      <c r="F31" s="257"/>
      <c r="G31" s="72" t="str">
        <f>'A MODIFIER'!A9</f>
        <v>*/2024</v>
      </c>
      <c r="H31" s="72" t="str">
        <f>'A MODIFIER'!A10</f>
        <v>*/2025</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6.9381598793363697E-2</v>
      </c>
      <c r="H32" s="63">
        <f>IF('DONNEES CUMULS DEPUIS JANVIER'!N15&lt;&gt;0,VLOOKUP('RESULTATS DEPUIS JANVIER'!A32,'DONNEES CUMULS DEPUIS JANVIER'!Q15:S55,2,FALSE),"")</f>
        <v>3.2774945375090958E-2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2.0556227327690468E-2</v>
      </c>
      <c r="H33" s="63">
        <f>IF('DONNEES CUMULS DEPUIS JANVIER'!N16&lt;&gt;0,VLOOKUP('RESULTATS DEPUIS JANVIER'!A33,'DONNEES CUMULS DEPUIS JANVIER'!Q15:S55,2,FALSE),"")</f>
        <v>1.6459253311922994E-2</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2.8505392912172578E-2</v>
      </c>
      <c r="H34" s="63">
        <f>IF('DONNEES CUMULS DEPUIS JANVIER'!N17&lt;&gt;0,VLOOKUP('RESULTATS DEPUIS JANVIER'!A34,'DONNEES CUMULS DEPUIS JANVIER'!Q15:S55,2,FALSE),"")</f>
        <v>2.1423106350420884E-2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-5.4545454545454564E-2</v>
      </c>
      <c r="H35" s="63">
        <f>IF('DONNEES CUMULS DEPUIS JANVIER'!N18&lt;&gt;0,VLOOKUP('RESULTATS DEPUIS JANVIER'!A35,'DONNEES CUMULS DEPUIS JANVIER'!Q15:S55,2,FALSE),"")</f>
        <v>-1.2658227848101333E-2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2.7072192513368787E-2</v>
      </c>
      <c r="H36" s="63">
        <f>IF('DONNEES CUMULS DEPUIS JANVIER'!N19&lt;&gt;0,VLOOKUP('RESULTATS DEPUIS JANVIER'!A36,'DONNEES CUMULS DEPUIS JANVIER'!Q15:S55,2,FALSE),"")</f>
        <v>-1.7268947873361196E-2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1.1082693947144007E-2</v>
      </c>
      <c r="H37" s="63">
        <f>IF('DONNEES CUMULS DEPUIS JANVIER'!N20&lt;&gt;0,VLOOKUP('RESULTATS DEPUIS JANVIER'!A37,'DONNEES CUMULS DEPUIS JANVIER'!Q15:S55,2,FALSE),"")</f>
        <v>1.6891891891890332E-3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1.3709677419354804E-2</v>
      </c>
      <c r="H38" s="63">
        <f>IF('DONNEES CUMULS DEPUIS JANVIER'!N21&lt;&gt;0,VLOOKUP('RESULTATS DEPUIS JANVIER'!A38,'DONNEES CUMULS DEPUIS JANVIER'!Q15:S55,2,FALSE),"")</f>
        <v>1.7813765182186359E-2</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-0.24981357196122311</v>
      </c>
      <c r="H39" s="63">
        <f>IF('DONNEES CUMULS DEPUIS JANVIER'!N22&lt;&gt;0,VLOOKUP('RESULTATS DEPUIS JANVIER'!A39,'DONNEES CUMULS DEPUIS JANVIER'!Q15:S55,2,FALSE),"")</f>
        <v>-0.12597741094700277</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-7.5792374827744591E-2</v>
      </c>
      <c r="H40" s="63">
        <f>IF('DONNEES CUMULS DEPUIS JANVIER'!N23&lt;&gt;0,VLOOKUP('RESULTATS DEPUIS JANVIER'!A40,'DONNEES CUMULS DEPUIS JANVIER'!Q15:S55,2,FALSE),"")</f>
        <v>-1.0329562223315381E-2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6.5014031805425532E-2</v>
      </c>
      <c r="H41" s="63">
        <f>IF('DONNEES CUMULS DEPUIS JANVIER'!N24&lt;&gt;0,VLOOKUP('RESULTATS DEPUIS JANVIER'!A41,'DONNEES CUMULS DEPUIS JANVIER'!Q15:S55,2,FALSE),"")</f>
        <v>2.6600541027953062E-2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2.5530073561228717E-2</v>
      </c>
      <c r="H42" s="63">
        <f>IF('DONNEES CUMULS DEPUIS JANVIER'!N25&lt;&gt;0,VLOOKUP('RESULTATS DEPUIS JANVIER'!A42,'DONNEES CUMULS DEPUIS JANVIER'!Q15:S55,2,FALSE),"")</f>
        <v>2.5380710659899108E-3</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13" zoomScale="80" zoomScaleNormal="80" workbookViewId="0">
      <selection activeCell="I54" sqref="I54"/>
    </sheetView>
  </sheetViews>
  <sheetFormatPr baseColWidth="10" defaultRowHeight="15"/>
  <cols>
    <col min="1" max="1" width="33.42578125" customWidth="1"/>
  </cols>
  <sheetData>
    <row r="1" spans="1:15">
      <c r="A1" s="247" t="str">
        <f>"EVOLUTION DES INDEX ET INDICES TP A FIN "&amp;'A MODIFIER'!B4&amp;"  EN GLISSEMENT 3 MOIS ET 6 MOIS"</f>
        <v>EVOLUTION DES INDEX ET INDICES TP A FIN FÉVRIER 2026  EN GLISSEMENT 3 MOIS ET 6 MOIS</v>
      </c>
      <c r="B1" s="247"/>
      <c r="C1" s="247"/>
      <c r="D1" s="247"/>
      <c r="E1" s="247"/>
      <c r="F1" s="247"/>
      <c r="G1" s="247"/>
      <c r="H1" s="247"/>
      <c r="I1" s="247"/>
      <c r="J1" s="247"/>
      <c r="K1" s="247"/>
      <c r="L1" s="247"/>
      <c r="M1" s="247"/>
      <c r="N1" s="247"/>
      <c r="O1" s="247"/>
    </row>
    <row r="2" spans="1:15">
      <c r="A2" s="12" t="str">
        <f>'A MODIFIER'!A7</f>
        <v>*3 mois = Cumul déc 2025-févr 2026 / Cumul sept 2025-nov 2025</v>
      </c>
      <c r="C2" s="12"/>
      <c r="D2" s="12"/>
      <c r="E2" s="12"/>
      <c r="F2" s="12"/>
      <c r="G2" s="12"/>
      <c r="H2" s="12"/>
      <c r="K2" s="12" t="str">
        <f>'A MODIFIER'!A8</f>
        <v>*6 mois = Cumul sept 2025-févr 2026 / Cumul mars 2025-août 2025</v>
      </c>
      <c r="N2" s="11"/>
    </row>
    <row r="3" spans="1:15">
      <c r="A3" s="45"/>
      <c r="B3" s="11"/>
      <c r="C3" s="11"/>
      <c r="D3" s="11"/>
      <c r="E3" s="11"/>
      <c r="G3" s="11"/>
      <c r="H3" s="11"/>
      <c r="I3" s="11"/>
      <c r="J3" s="11"/>
      <c r="L3" s="11"/>
      <c r="M3" s="11"/>
      <c r="N3" s="11"/>
    </row>
    <row r="4" spans="1:15">
      <c r="A4" s="46" t="s">
        <v>160</v>
      </c>
      <c r="B4" s="47" t="s">
        <v>20</v>
      </c>
      <c r="C4" s="11"/>
      <c r="D4" s="11"/>
      <c r="E4" s="48"/>
      <c r="F4" s="261" t="str">
        <f>B4&amp;" - "&amp;VLOOKUP(B4,'NOMS INDEX'!A1:B26,2,FALSE)</f>
        <v>TP02 - Travaux de génie civil et d’ouvrages d’art neufs ou rénovation</v>
      </c>
      <c r="G4" s="261"/>
      <c r="H4" s="261"/>
      <c r="I4" s="261"/>
      <c r="J4" s="261"/>
      <c r="K4" s="261"/>
      <c r="L4" s="261"/>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60" t="str">
        <f>"Composition globale du "&amp;B4</f>
        <v>Composition globale du TP02</v>
      </c>
      <c r="L6" s="260"/>
      <c r="M6" s="260"/>
      <c r="N6" s="260"/>
      <c r="O6" s="260"/>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4.8469387755103455E-3</v>
      </c>
      <c r="I9" s="157">
        <f>VLOOKUP(G9,'EVOL INDEX 3-6 MOIS GLISSANTS'!A8:D30,4,FALSE)</f>
        <v>-1.016906063302514E-3</v>
      </c>
      <c r="J9" s="52"/>
      <c r="K9" s="11"/>
      <c r="L9" s="11"/>
      <c r="M9" s="11"/>
      <c r="N9" s="11"/>
    </row>
    <row r="10" spans="1:15">
      <c r="A10" s="11"/>
      <c r="B10" s="11"/>
      <c r="C10" s="11"/>
      <c r="D10" s="11"/>
      <c r="E10" s="11"/>
      <c r="F10" s="11"/>
      <c r="G10" s="57" t="str">
        <f>B4</f>
        <v>TP02</v>
      </c>
      <c r="H10" s="158">
        <f>VLOOKUP(G10,'EVOL INDEX 3-6 MOIS GLISSANTS'!A8:D31,3,FALSE)</f>
        <v>9.5776031434184894E-3</v>
      </c>
      <c r="I10" s="158">
        <f>VLOOKUP(G10,'EVOL INDEX 3-6 MOIS GLISSANTS'!A8:D31,4,FALSE)</f>
        <v>7.6345277675162748E-3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7" t="str">
        <f>"Part du "&amp;B4&amp;" dans le TP01"</f>
        <v>Part du TP02 dans le TP01</v>
      </c>
      <c r="H12" s="247"/>
      <c r="I12" s="247"/>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0" t="s">
        <v>161</v>
      </c>
      <c r="B18" s="260"/>
      <c r="C18" s="260"/>
      <c r="D18" s="260"/>
      <c r="E18" s="260"/>
      <c r="F18" s="260"/>
      <c r="G18" s="260"/>
      <c r="H18" s="260"/>
      <c r="I18" s="260"/>
      <c r="J18" s="260"/>
      <c r="K18" s="260"/>
      <c r="L18" s="260"/>
      <c r="M18" s="260"/>
      <c r="N18" s="260"/>
      <c r="O18" s="260"/>
    </row>
    <row r="19" spans="1:15">
      <c r="A19" s="11"/>
      <c r="B19" s="11"/>
      <c r="C19" s="11"/>
      <c r="D19" s="11"/>
      <c r="E19" s="11"/>
      <c r="F19" s="262" t="str">
        <f>'A MODIFIER'!A11</f>
        <v>*3 mois</v>
      </c>
      <c r="G19" s="262"/>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-2.6336581511720025E-3</v>
      </c>
      <c r="C21" s="63">
        <f>INDEX('3-6 MOIS GLISSANTS'!C45:E85,MATCH(A21,'3-6 MOIS GLISSANTS'!C45:C85,0),MATCH(C20,'3-6 MOIS GLISSANTS'!C44:E44,0))</f>
        <v>1.8494055482165539E-3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9.9715099715098621E-3</v>
      </c>
      <c r="C22" s="63">
        <f>INDEX('3-6 MOIS GLISSANTS'!C45:E85,MATCH(A22,'3-6 MOIS GLISSANTS'!C45:C85,0),MATCH(C20,'3-6 MOIS GLISSANTS'!C44:E44,0))</f>
        <v>1.877256317689513E-2</v>
      </c>
      <c r="D22" s="64">
        <f>INDEX(compo_index,MATCH(B4,'COMPOSITION INDEX'!A1:A27,0),MATCH(A22,'COMPOSITION INDEX'!A2:AR2,0))</f>
        <v>0.5</v>
      </c>
      <c r="E22" s="11"/>
      <c r="F22" s="11"/>
      <c r="G22" s="11"/>
      <c r="H22" s="11"/>
      <c r="I22" s="11"/>
      <c r="J22" s="11"/>
      <c r="K22" s="11"/>
      <c r="L22" s="11"/>
      <c r="M22" s="11"/>
      <c r="N22" s="11"/>
    </row>
    <row r="23" spans="1:15">
      <c r="A23" s="65" t="s">
        <v>316</v>
      </c>
      <c r="B23" s="63">
        <f>INDEX('3-6 MOIS GLISSANTS'!B45:E85,MATCH(A23,'3-6 MOIS GLISSANTS'!C45:C85,0),MATCH(B20,'3-6 MOIS GLISSANTS'!B44:E44,0))</f>
        <v>2.3967130792056368E-2</v>
      </c>
      <c r="C23" s="63">
        <f>INDEX('3-6 MOIS GLISSANTS'!C45:E85,MATCH(A23,'3-6 MOIS GLISSANTS'!C45:C85,0),MATCH(C20,'3-6 MOIS GLISSANTS'!C44:E44,0))</f>
        <v>2.9609846725499267E-2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6.8515931617108006E-3</v>
      </c>
      <c r="C24" s="63">
        <f>INDEX('3-6 MOIS GLISSANTS'!C45:E85,MATCH(A24,'3-6 MOIS GLISSANTS'!C45:C85,0),MATCH(C20,'3-6 MOIS GLISSANTS'!C44:E44,0))</f>
        <v>1.9929342957115459E-2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3.0916245081504812E-3</v>
      </c>
      <c r="C25" s="63">
        <f>INDEX('3-6 MOIS GLISSANTS'!C45:E85,MATCH(A25,'3-6 MOIS GLISSANTS'!C45:C85,0),MATCH(C20,'3-6 MOIS GLISSANTS'!C44:E44,0))</f>
        <v>-6.5514357401728063E-3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1.8612071257644303E-3</v>
      </c>
      <c r="C26" s="63">
        <f>INDEX('3-6 MOIS GLISSANTS'!C45:E85,MATCH('DONNEES 3-6 MOIS'!H10,'3-6 MOIS GLISSANTS'!C45:C85,0),MATCH(C20,'3-6 MOIS GLISSANTS'!C44:E44,0))</f>
        <v>3.0642152944313494E-3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0" t="str">
        <f>"Evolution des indices spécifiques au "&amp;B4</f>
        <v>Evolution des indices spécifiques au TP02</v>
      </c>
      <c r="B30" s="260"/>
      <c r="C30" s="260"/>
      <c r="D30" s="260"/>
      <c r="E30" s="260"/>
      <c r="F30" s="260"/>
      <c r="G30" s="260"/>
      <c r="H30" s="260"/>
      <c r="I30" s="260"/>
      <c r="J30" s="260"/>
      <c r="K30" s="260"/>
      <c r="L30" s="260"/>
      <c r="M30" s="260"/>
      <c r="N30" s="260"/>
      <c r="O30" s="260"/>
    </row>
    <row r="31" spans="1:15" ht="24">
      <c r="A31" s="257" t="s">
        <v>177</v>
      </c>
      <c r="B31" s="257"/>
      <c r="C31" s="257"/>
      <c r="D31" s="257"/>
      <c r="E31" s="257"/>
      <c r="F31" s="257"/>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9.9715099715098621E-3</v>
      </c>
      <c r="H32" s="63">
        <f>IF('DONNEES 3-6 MOIS'!N15&lt;&gt;0,VLOOKUP(A32,'DONNEES 3-6 MOIS'!Q15:S55,3,FALSE),"")</f>
        <v>1.877256317689513E-2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-2.6336581511720025E-3</v>
      </c>
      <c r="H33" s="63">
        <f>IF('DONNEES 3-6 MOIS'!N16&lt;&gt;0,VLOOKUP(A33,'DONNEES 3-6 MOIS'!Q15:S55,3,FALSE),"")</f>
        <v>1.8494055482165539E-3</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8.8697415103902166E-3</v>
      </c>
      <c r="H34" s="63">
        <f>IF('DONNEES 3-6 MOIS'!N17&lt;&gt;0,VLOOKUP(A34,'DONNEES 3-6 MOIS'!Q15:S55,3,FALSE),"")</f>
        <v>5.9644670050762461E-3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-1.000769822940728E-2</v>
      </c>
      <c r="H35" s="63">
        <f>IF('DONNEES 3-6 MOIS'!N18&lt;&gt;0,VLOOKUP(A35,'DONNEES 3-6 MOIS'!Q15:S55,3,FALSE),"")</f>
        <v>-2.9654654654654555E-2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2.3967130792056368E-2</v>
      </c>
      <c r="H36" s="63">
        <f>IF('DONNEES 3-6 MOIS'!N19&lt;&gt;0,VLOOKUP(A36,'DONNEES 3-6 MOIS'!Q15:S55,3,FALSE),"")</f>
        <v>2.9609846725499267E-2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3.0916245081504812E-3</v>
      </c>
      <c r="H37" s="63">
        <f>IF('DONNEES 3-6 MOIS'!N20&lt;&gt;0,VLOOKUP(A37,'DONNEES 3-6 MOIS'!Q15:S55,3,FALSE),"")</f>
        <v>-6.5514357401728063E-3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1.8612071257644303E-3</v>
      </c>
      <c r="H38" s="63">
        <f>IF('DONNEES 3-6 MOIS'!N21&lt;&gt;0,VLOOKUP(A38,'DONNEES 3-6 MOIS'!Q15:S55,3,FALSE),"")</f>
        <v>3.0642152944313494E-3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0.31659324522760635</v>
      </c>
      <c r="H39" s="63">
        <f>IF('DONNEES 3-6 MOIS'!N22&lt;&gt;0,VLOOKUP(A39,'DONNEES 3-6 MOIS'!Q15:S55,3,FALSE),"")</f>
        <v>0.11775542015020557</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-8.2372322899505468E-3</v>
      </c>
      <c r="H40" s="63">
        <f>IF('DONNEES 3-6 MOIS'!N23&lt;&gt;0,VLOOKUP(A40,'DONNEES 3-6 MOIS'!Q15:S55,3,FALSE),"")</f>
        <v>-9.1788231437469614E-3</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2.936857562408246E-3</v>
      </c>
      <c r="H41" s="63">
        <f>IF('DONNEES 3-6 MOIS'!N24&lt;&gt;0,VLOOKUP(A41,'DONNEES 3-6 MOIS'!Q5:S55,3,FALSE),"")</f>
        <v>1.1269276393831573E-2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8.4674005080453973E-4</v>
      </c>
      <c r="H42" s="63">
        <f>IF('DONNEES 3-6 MOIS'!N25&lt;&gt;0,VLOOKUP(A42,'DONNEES 3-6 MOIS'!Q15:S55,3,FALSE),"")</f>
        <v>-2.1114864864865135E-3</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9"/>
  <sheetViews>
    <sheetView showGridLines="0" topLeftCell="A42" zoomScaleNormal="100" workbookViewId="0">
      <selection activeCell="A51" sqref="A51:A59"/>
    </sheetView>
  </sheetViews>
  <sheetFormatPr baseColWidth="10" defaultRowHeight="15"/>
  <cols>
    <col min="1" max="1" width="11.5703125" style="188"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FÉVRIER 2026 EN CUMUL DEPUIS JANVIER PAR RAPPORT À 2025 ET 2024</v>
      </c>
      <c r="B1" s="39"/>
      <c r="C1" s="39"/>
      <c r="D1" s="14"/>
      <c r="E1" s="14"/>
      <c r="F1" s="118"/>
    </row>
    <row r="2" spans="1:6">
      <c r="A2" s="197"/>
      <c r="B2" s="11"/>
      <c r="C2" s="11"/>
      <c r="D2" s="11"/>
    </row>
    <row r="3" spans="1:6">
      <c r="A3" s="128" t="str" cm="1">
        <f t="array" ref="A3:A4">'A MODIFIER'!E5:E6</f>
        <v>*/2025 = Cumul janv 2026-févr 2026 / Cumul janv 2025-févr 2025</v>
      </c>
      <c r="B3" s="11"/>
      <c r="C3" s="11"/>
      <c r="D3" s="11"/>
    </row>
    <row r="4" spans="1:6">
      <c r="A4" s="210" t="str">
        <v>*/2024 = Cumul janv 2026-févr 2026 / Cumul janv 2024-févr 2024</v>
      </c>
      <c r="B4" s="11"/>
      <c r="C4" s="11"/>
      <c r="D4" s="40"/>
    </row>
    <row r="5" spans="1:6">
      <c r="A5" s="197"/>
      <c r="B5" s="11"/>
      <c r="C5" s="11"/>
      <c r="D5" s="40"/>
    </row>
    <row r="6" spans="1:6">
      <c r="A6" s="126" t="s">
        <v>157</v>
      </c>
    </row>
    <row r="7" spans="1:6">
      <c r="A7" s="53"/>
    </row>
    <row r="10" spans="1:6">
      <c r="A10" s="191"/>
      <c r="B10" s="43"/>
      <c r="C10" s="44" t="str">
        <f>'A MODIFIER'!A10</f>
        <v>*/2025</v>
      </c>
      <c r="D10" s="117" t="str">
        <f>'A MODIFIER'!A9</f>
        <v>*/2024</v>
      </c>
    </row>
    <row r="11" spans="1:6">
      <c r="A11" s="192" t="str" cm="1">
        <f t="array" ref="A11:D49">'DEPUIS JANVIER'!J45:M83</f>
        <v>010764224</v>
      </c>
      <c r="B11" s="25" t="str">
        <v>Matériel de distribution et de commande électrique</v>
      </c>
      <c r="C11" s="147">
        <v>0.14835164835164849</v>
      </c>
      <c r="D11" s="148">
        <v>0.13729593972373411</v>
      </c>
    </row>
    <row r="12" spans="1:6">
      <c r="A12" s="192" t="str">
        <v>010764223</v>
      </c>
      <c r="B12" s="25" t="str">
        <v>Moteurs, génératrices, transfo. électr., matér. distrib., cmde électr.</v>
      </c>
      <c r="C12" s="147">
        <v>9.8332620778110114E-2</v>
      </c>
      <c r="D12" s="148">
        <v>9.505541346973545E-2</v>
      </c>
    </row>
    <row r="13" spans="1:6">
      <c r="A13" s="192" t="str">
        <v>010765839</v>
      </c>
      <c r="B13" s="25" t="str">
        <v>Tôles quarto et autres produits plats en aciers non alliés de qualité</v>
      </c>
      <c r="C13" s="147">
        <v>3.6002482929857083E-2</v>
      </c>
      <c r="D13" s="148">
        <v>-5.546123372948486E-2</v>
      </c>
    </row>
    <row r="14" spans="1:6">
      <c r="A14" s="192">
        <v>8899388</v>
      </c>
      <c r="B14" s="25" t="str">
        <v>Travail</v>
      </c>
      <c r="C14" s="147">
        <v>3.2774945375090958E-2</v>
      </c>
      <c r="D14" s="148">
        <v>6.9381598793363697E-2</v>
      </c>
    </row>
    <row r="15" spans="1:6">
      <c r="A15" s="192" t="str">
        <v>010764101</v>
      </c>
      <c r="B15" s="25" t="str">
        <v>Autres textiles</v>
      </c>
      <c r="C15" s="147">
        <v>2.9986962190352129E-2</v>
      </c>
      <c r="D15" s="148">
        <v>5.1930758988016024E-2</v>
      </c>
    </row>
    <row r="16" spans="1:6">
      <c r="A16" s="192" t="str">
        <v> 010764116</v>
      </c>
      <c r="B16" s="25" t="str">
        <v>Ensemble des produits du sciage</v>
      </c>
      <c r="C16" s="147">
        <v>2.6600541027953062E-2</v>
      </c>
      <c r="D16" s="148">
        <v>6.5014031805425532E-2</v>
      </c>
    </row>
    <row r="17" spans="1:4">
      <c r="A17" s="192" t="str">
        <v>001565195</v>
      </c>
      <c r="B17" s="25" t="str">
        <v>Travail activités spécialisées</v>
      </c>
      <c r="C17" s="147">
        <v>2.1892393320964709E-2</v>
      </c>
      <c r="D17" s="148">
        <v>4.8743335872048599E-2</v>
      </c>
    </row>
    <row r="18" spans="1:4">
      <c r="A18" s="192" t="str">
        <v>010764180</v>
      </c>
      <c r="B18" s="25" t="str">
        <v>Béton prêt à l'emploi</v>
      </c>
      <c r="C18" s="147">
        <v>2.1423106350420884E-2</v>
      </c>
      <c r="D18" s="148">
        <v>2.8505392912172578E-2</v>
      </c>
    </row>
    <row r="19" spans="1:4">
      <c r="A19" s="192" t="str">
        <v>010764176</v>
      </c>
      <c r="B19" s="25" t="str">
        <v>Ciment, chaux et plâtre</v>
      </c>
      <c r="C19" s="147">
        <v>1.9741320626276426E-2</v>
      </c>
      <c r="D19" s="148">
        <v>3.345981372887219E-2</v>
      </c>
    </row>
    <row r="20" spans="1:4">
      <c r="A20" s="192" t="str">
        <v>001711943</v>
      </c>
      <c r="B20" s="25" t="str">
        <v>Transports routiers</v>
      </c>
      <c r="C20" s="147">
        <v>1.7813765182186359E-2</v>
      </c>
      <c r="D20" s="148">
        <v>1.3709677419354804E-2</v>
      </c>
    </row>
    <row r="21" spans="1:4">
      <c r="A21" s="192" t="str">
        <v>001711009</v>
      </c>
      <c r="B21" s="25" t="str">
        <v>Matériel</v>
      </c>
      <c r="C21" s="147">
        <v>1.6459253311922994E-2</v>
      </c>
      <c r="D21" s="148">
        <v>2.0556227327690468E-2</v>
      </c>
    </row>
    <row r="22" spans="1:4">
      <c r="A22" s="192" t="str">
        <v>010764301</v>
      </c>
      <c r="B22" s="25" t="str">
        <v>Collecte, traitement et élimination des déchets ; récupération de matériaux</v>
      </c>
      <c r="C22" s="147">
        <v>1.418115279048493E-2</v>
      </c>
      <c r="D22" s="148">
        <v>3.0204460966542834E-2</v>
      </c>
    </row>
    <row r="23" spans="1:4">
      <c r="A23" s="192" t="str">
        <v>010764179</v>
      </c>
      <c r="B23" s="25" t="str">
        <v>Éléments en béton pour la construction</v>
      </c>
      <c r="C23" s="147">
        <v>8.8719898605831293E-3</v>
      </c>
      <c r="D23" s="148">
        <v>-2.6894865525672329E-2</v>
      </c>
    </row>
    <row r="24" spans="1:4">
      <c r="A24" s="192" t="str">
        <v>010765500</v>
      </c>
      <c r="B24" s="25" t="str">
        <v>Sables et granulats</v>
      </c>
      <c r="C24" s="147">
        <v>5.1391862955032508E-3</v>
      </c>
      <c r="D24" s="148">
        <v>-2.9736618521666314E-3</v>
      </c>
    </row>
    <row r="25" spans="1:4">
      <c r="A25" s="192" t="str">
        <v>010763871</v>
      </c>
      <c r="B25" s="25" t="str">
        <v>Produits de voierie en béton</v>
      </c>
      <c r="C25" s="147">
        <v>5.1181102362205522E-3</v>
      </c>
      <c r="D25" s="148">
        <v>5.5139818826310805E-3</v>
      </c>
    </row>
    <row r="26" spans="1:4">
      <c r="A26" s="192" t="str">
        <v>010763881</v>
      </c>
      <c r="B26" s="25" t="str">
        <v>Produits sidérurgiques en acier non allié</v>
      </c>
      <c r="C26" s="147">
        <v>4.8205677557580096E-3</v>
      </c>
      <c r="D26" s="148">
        <v>-4.6263345195729499E-2</v>
      </c>
    </row>
    <row r="27" spans="1:4">
      <c r="A27" s="192" t="str">
        <v>010764195</v>
      </c>
      <c r="B27" s="25" t="str">
        <v>Travaux de fonderie de fonte</v>
      </c>
      <c r="C27" s="147">
        <v>3.1262211801486028E-3</v>
      </c>
      <c r="D27" s="148">
        <v>-2.3319082782742306E-3</v>
      </c>
    </row>
    <row r="28" spans="1:4">
      <c r="A28" s="192" t="str">
        <v>010764306</v>
      </c>
      <c r="B28" s="25" t="str">
        <v>Traitement et élimination des déchets non dangereux</v>
      </c>
      <c r="C28" s="147">
        <v>2.5380710659899108E-3</v>
      </c>
      <c r="D28" s="148">
        <v>2.5530073561228717E-2</v>
      </c>
    </row>
    <row r="29" spans="1:4">
      <c r="A29" s="192" t="str">
        <v>001711011</v>
      </c>
      <c r="B29" s="25" t="str">
        <v>Frais divers</v>
      </c>
      <c r="C29" s="147">
        <v>1.6891891891890332E-3</v>
      </c>
      <c r="D29" s="148">
        <v>1.1082693947144007E-2</v>
      </c>
    </row>
    <row r="30" spans="1:4">
      <c r="A30" s="192" t="str">
        <v>010763930</v>
      </c>
      <c r="B30" s="25" t="str">
        <v>Fils et câbles d'énergie</v>
      </c>
      <c r="C30" s="147">
        <v>1.5961691939345712E-3</v>
      </c>
      <c r="D30" s="148">
        <v>6.8539804171988239E-2</v>
      </c>
    </row>
    <row r="31" spans="1:4">
      <c r="A31" s="192" t="str">
        <v>010766292</v>
      </c>
      <c r="B31" s="25" t="str">
        <v>Réseaux d’assainissement</v>
      </c>
      <c r="C31" s="147">
        <v>3.910833007432224E-4</v>
      </c>
      <c r="D31" s="148">
        <v>3.1372549019608176E-3</v>
      </c>
    </row>
    <row r="32" spans="1:4">
      <c r="A32" s="192" t="str">
        <v>010764228</v>
      </c>
      <c r="B32" s="25" t="str">
        <v>Appareils d'éclairage électrique</v>
      </c>
      <c r="C32" s="147">
        <v>-6.5696855936180354E-3</v>
      </c>
      <c r="D32" s="148">
        <v>-1.5806601580660273E-2</v>
      </c>
    </row>
    <row r="33" spans="1:4">
      <c r="A33" s="192" t="str">
        <v>010763845</v>
      </c>
      <c r="B33" s="25" t="str">
        <v>Tubes, tuyaux en matière plastique</v>
      </c>
      <c r="C33" s="147">
        <v>-1.0329562223315381E-2</v>
      </c>
      <c r="D33" s="148">
        <v>-7.5792374827744591E-2</v>
      </c>
    </row>
    <row r="34" spans="1:4">
      <c r="A34" s="192" t="str">
        <v>010764181</v>
      </c>
      <c r="B34" s="25" t="str">
        <v>Mortiers et bétons secs</v>
      </c>
      <c r="C34" s="147">
        <v>-1.0789814415192112E-2</v>
      </c>
      <c r="D34" s="148">
        <v>-1.1216566005176953E-2</v>
      </c>
    </row>
    <row r="35" spans="1:4">
      <c r="A35" s="192" t="str">
        <v>010764172</v>
      </c>
      <c r="B35" s="25" t="str">
        <v>Tuiles, briques et produits de construction en terre cuite</v>
      </c>
      <c r="C35" s="147">
        <v>-1.145311381531855E-2</v>
      </c>
      <c r="D35" s="148">
        <v>-2.888086642599319E-3</v>
      </c>
    </row>
    <row r="36" spans="1:4">
      <c r="A36" s="192" t="str">
        <v>010764187</v>
      </c>
      <c r="B36" s="25" t="str">
        <v>Tubes, tuyaux, profilés creux et accessoires correspondants en acier</v>
      </c>
      <c r="C36" s="147">
        <v>-1.2315270935960521E-2</v>
      </c>
      <c r="D36" s="148">
        <v>-4.7505938242280221E-2</v>
      </c>
    </row>
    <row r="37" spans="1:4">
      <c r="A37" s="192" t="str">
        <v>010766236</v>
      </c>
      <c r="B37" s="25" t="str">
        <v>Barres crénelées ou nervurées pour béton armé</v>
      </c>
      <c r="C37" s="147">
        <v>-1.2658227848101333E-2</v>
      </c>
      <c r="D37" s="148">
        <v>-5.4545454545454564E-2</v>
      </c>
    </row>
    <row r="38" spans="1:4">
      <c r="A38" s="192" t="str">
        <v>010765837</v>
      </c>
      <c r="B38" s="25" t="str">
        <v>Acier pour la construction</v>
      </c>
      <c r="C38" s="147">
        <v>-1.2672176308540006E-2</v>
      </c>
      <c r="D38" s="148">
        <v>-4.9840933191940828E-2</v>
      </c>
    </row>
    <row r="39" spans="1:4">
      <c r="A39" s="192" t="str">
        <v>010777519</v>
      </c>
      <c r="B39" s="25" t="str">
        <v>GNR pour les Travaux Publics</v>
      </c>
      <c r="C39" s="147">
        <v>-1.7268947873361196E-2</v>
      </c>
      <c r="D39" s="148">
        <v>2.7072192513368787E-2</v>
      </c>
    </row>
    <row r="40" spans="1:4">
      <c r="A40" s="192" t="str">
        <v>011816634</v>
      </c>
      <c r="B40" s="25" t="str">
        <v>Gazole</v>
      </c>
      <c r="C40" s="147">
        <v>-2.3978982565082463E-2</v>
      </c>
      <c r="D40" s="148">
        <v>-6.3780068728522377E-2</v>
      </c>
    </row>
    <row r="41" spans="1:4">
      <c r="A41" s="192" t="str">
        <v>010763825</v>
      </c>
      <c r="B41" s="25" t="str">
        <v>Peintures Industries</v>
      </c>
      <c r="C41" s="147">
        <v>-2.8910303928836201E-2</v>
      </c>
      <c r="D41" s="148">
        <v>-5.6535830032409029E-2</v>
      </c>
    </row>
    <row r="42" spans="1:4">
      <c r="A42" s="192" t="str">
        <v>010764160</v>
      </c>
      <c r="B42" s="25" t="str">
        <v>Plaques, feuilles, tubes et profilés en matières plastiques</v>
      </c>
      <c r="C42" s="147">
        <v>-2.9864675688287434E-2</v>
      </c>
      <c r="D42" s="148">
        <v>-2.9864675688287434E-2</v>
      </c>
    </row>
    <row r="43" spans="1:4">
      <c r="A43" s="192" t="str">
        <v>Gazole routier HTT</v>
      </c>
      <c r="B43" s="25" t="str">
        <v>Gazole routier HTT</v>
      </c>
      <c r="C43" s="147">
        <v>-4.2378998190626294E-2</v>
      </c>
      <c r="D43" s="148">
        <v>-0.11250648078806358</v>
      </c>
    </row>
    <row r="44" spans="1:4">
      <c r="A44" s="192" t="str">
        <v>010764149</v>
      </c>
      <c r="B44" s="25" t="str">
        <v>Autres produits chimiques</v>
      </c>
      <c r="C44" s="147">
        <v>-4.8284625158831029E-2</v>
      </c>
      <c r="D44" s="148">
        <v>3.1680440771349794E-2</v>
      </c>
    </row>
    <row r="45" spans="1:4">
      <c r="A45" s="192" t="str">
        <v>010764834</v>
      </c>
      <c r="B45" s="25" t="str">
        <v>Câbles de fibres optiques</v>
      </c>
      <c r="C45" s="147">
        <v>-5.4888507718696355E-2</v>
      </c>
      <c r="D45" s="148">
        <v>-0.17597208374875373</v>
      </c>
    </row>
    <row r="46" spans="1:4">
      <c r="A46" s="192" t="str">
        <v>010764143</v>
      </c>
      <c r="B46" s="25" t="str">
        <v>Matières plastiques sous formes primaires</v>
      </c>
      <c r="C46" s="147">
        <v>-0.10911016949152552</v>
      </c>
      <c r="D46" s="148">
        <v>-9.4725511302475862E-2</v>
      </c>
    </row>
    <row r="47" spans="1:4">
      <c r="A47" s="192" t="str">
        <v>010764291</v>
      </c>
      <c r="B47" s="25" t="str">
        <v>Électricité vendue aux entreprises consommatrices finales</v>
      </c>
      <c r="C47" s="147">
        <v>-0.12597741094700277</v>
      </c>
      <c r="D47" s="148">
        <v>-0.24981357196122311</v>
      </c>
    </row>
    <row r="48" spans="1:4">
      <c r="A48" s="192" t="str">
        <v>010764136</v>
      </c>
      <c r="B48" s="25" t="str">
        <v>Bitume</v>
      </c>
      <c r="C48" s="147">
        <v>-0.22037914691943117</v>
      </c>
      <c r="D48" s="148">
        <v>-0.12188612099644125</v>
      </c>
    </row>
    <row r="49" spans="1:4">
      <c r="A49" s="193" t="str">
        <v>010764297</v>
      </c>
      <c r="B49" s="26" t="str">
        <v>Gaz naturel</v>
      </c>
      <c r="C49" s="149">
        <v>-0.33551769331585823</v>
      </c>
      <c r="D49" s="150">
        <v>5.9523809523811533E-3</v>
      </c>
    </row>
    <row r="51" spans="1:4">
      <c r="A51" t="s">
        <v>360</v>
      </c>
    </row>
    <row r="52" spans="1:4">
      <c r="A52" t="s">
        <v>129</v>
      </c>
    </row>
    <row r="53" spans="1:4">
      <c r="A53" t="s">
        <v>134</v>
      </c>
    </row>
    <row r="54" spans="1:4">
      <c r="A54" t="s">
        <v>116</v>
      </c>
    </row>
    <row r="55" spans="1:4">
      <c r="A55" t="s">
        <v>117</v>
      </c>
    </row>
    <row r="57" spans="1:4">
      <c r="A57" t="s">
        <v>361</v>
      </c>
    </row>
    <row r="58" spans="1:4">
      <c r="A58" t="s">
        <v>138</v>
      </c>
    </row>
    <row r="59" spans="1:4">
      <c r="A59" t="s">
        <v>266</v>
      </c>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61"/>
  <sheetViews>
    <sheetView showGridLines="0" topLeftCell="A29" zoomScaleNormal="100" workbookViewId="0">
      <selection activeCell="A49" sqref="A49:A57"/>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déc 2025-févr 2026 / Cumul sept 2025-nov 2025</v>
      </c>
      <c r="B3" s="27"/>
      <c r="C3" s="11"/>
      <c r="D3" s="11"/>
    </row>
    <row r="4" spans="1:4">
      <c r="A4" s="12" t="str">
        <v>*6 mois = Cumul sept 2025-févr 2026 / Cumul mars 2025-août 2025</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0.31659324522760635</v>
      </c>
      <c r="C8" s="150">
        <v>0.11775542015020557</v>
      </c>
    </row>
    <row r="9" spans="1:4">
      <c r="A9" s="8" t="str">
        <v>Matériel de distribution et de commande électrique</v>
      </c>
      <c r="B9" s="150">
        <v>5.3840063341251021E-2</v>
      </c>
      <c r="C9" s="150">
        <v>6.9102898749828334E-2</v>
      </c>
    </row>
    <row r="10" spans="1:4">
      <c r="A10" s="8" t="str">
        <v>Tôles quarto et autres produits plats en aciers non alliés de qualité</v>
      </c>
      <c r="B10" s="150">
        <v>4.1141897565071472E-2</v>
      </c>
      <c r="C10" s="150">
        <v>-9.9776013031971367E-3</v>
      </c>
    </row>
    <row r="11" spans="1:4">
      <c r="A11" s="8" t="str">
        <v>Moteurs, génératrices, transfo. électr., matér. distrib., cmde électr.</v>
      </c>
      <c r="B11" s="150">
        <v>3.6814835014998826E-2</v>
      </c>
      <c r="C11" s="150">
        <v>4.5639087218255714E-2</v>
      </c>
    </row>
    <row r="12" spans="1:4">
      <c r="A12" s="8" t="str">
        <v>Autres produits chimiques</v>
      </c>
      <c r="B12" s="150">
        <v>3.1799938252547122E-2</v>
      </c>
      <c r="C12" s="150">
        <v>-1.5557217651458677E-2</v>
      </c>
    </row>
    <row r="13" spans="1:4">
      <c r="A13" s="8" t="str">
        <v>Ciment, chaux et plâtre</v>
      </c>
      <c r="B13" s="150">
        <v>2.9247910863509974E-2</v>
      </c>
      <c r="C13" s="150">
        <v>7.4910683415925217E-3</v>
      </c>
    </row>
    <row r="14" spans="1:4">
      <c r="A14" s="8" t="str">
        <v>Collecte, traitement et élimination des déchets ; récupération de matériaux</v>
      </c>
      <c r="B14" s="150">
        <v>2.6463262764632844E-2</v>
      </c>
      <c r="C14" s="150">
        <v>-9.5861229458309438E-3</v>
      </c>
    </row>
    <row r="15" spans="1:4">
      <c r="A15" s="8" t="str">
        <v>GNR pour les Travaux Publics</v>
      </c>
      <c r="B15" s="150">
        <v>2.3967130792056368E-2</v>
      </c>
      <c r="C15" s="150">
        <v>2.9609846725499267E-2</v>
      </c>
    </row>
    <row r="16" spans="1:4">
      <c r="A16" s="8" t="str">
        <v>Produits sidérurgiques en acier non allié</v>
      </c>
      <c r="B16" s="150">
        <v>1.8633540372670732E-2</v>
      </c>
      <c r="C16" s="150">
        <v>-2.1950787750044221E-2</v>
      </c>
    </row>
    <row r="17" spans="1:3">
      <c r="A17" s="8" t="str">
        <v>Autres textiles</v>
      </c>
      <c r="B17" s="150">
        <v>1.1139674378748854E-2</v>
      </c>
      <c r="C17" s="150">
        <v>1.0331467929401761E-2</v>
      </c>
    </row>
    <row r="18" spans="1:3">
      <c r="A18" s="8" t="str">
        <v>Sables et granulats</v>
      </c>
      <c r="B18" s="150">
        <v>1.0353753235547769E-2</v>
      </c>
      <c r="C18" s="150">
        <v>3.445305770887197E-3</v>
      </c>
    </row>
    <row r="19" spans="1:3">
      <c r="A19" s="8" t="str">
        <v>Travail</v>
      </c>
      <c r="B19" s="150">
        <v>9.9715099715098621E-3</v>
      </c>
      <c r="C19" s="150">
        <v>1.877256317689513E-2</v>
      </c>
    </row>
    <row r="20" spans="1:3">
      <c r="A20" s="8" t="str">
        <v>Béton prêt à l'emploi</v>
      </c>
      <c r="B20" s="150">
        <v>8.8697415103902166E-3</v>
      </c>
      <c r="C20" s="150">
        <v>5.9644670050762461E-3</v>
      </c>
    </row>
    <row r="21" spans="1:3">
      <c r="A21" s="8" t="str">
        <v>Éléments en béton pour la construction</v>
      </c>
      <c r="B21" s="150">
        <v>8.7694483734088724E-3</v>
      </c>
      <c r="C21" s="150">
        <v>-6.7142257658413529E-3</v>
      </c>
    </row>
    <row r="22" spans="1:3">
      <c r="A22" s="8" t="str">
        <v>Fils et câbles d'énergie</v>
      </c>
      <c r="B22" s="150">
        <v>8.0321285140563248E-3</v>
      </c>
      <c r="C22" s="150">
        <v>-1.6651370132424348E-2</v>
      </c>
    </row>
    <row r="23" spans="1:3">
      <c r="A23" s="8" t="str">
        <v>Gazole</v>
      </c>
      <c r="B23" s="150">
        <v>6.8515931617108006E-3</v>
      </c>
      <c r="C23" s="150">
        <v>1.9929342957115459E-2</v>
      </c>
    </row>
    <row r="24" spans="1:3">
      <c r="A24" s="8" t="str">
        <v>Réseaux d’assainissement</v>
      </c>
      <c r="B24" s="150">
        <v>6.030414263240802E-3</v>
      </c>
      <c r="C24" s="150">
        <v>-1.556870818322198E-2</v>
      </c>
    </row>
    <row r="25" spans="1:3">
      <c r="A25" s="8" t="str">
        <v>Travail activités spécialisées</v>
      </c>
      <c r="B25" s="150">
        <v>5.8479532163744352E-3</v>
      </c>
      <c r="C25" s="150">
        <v>1.09296328134596E-2</v>
      </c>
    </row>
    <row r="26" spans="1:3">
      <c r="A26" s="8" t="str">
        <v>Gazole routier HTT</v>
      </c>
      <c r="B26" s="150">
        <v>3.9284881664805038E-3</v>
      </c>
      <c r="C26" s="150">
        <v>3.7911447581447044E-2</v>
      </c>
    </row>
    <row r="27" spans="1:3">
      <c r="A27" s="8" t="str">
        <v>Frais divers</v>
      </c>
      <c r="B27" s="150">
        <v>3.0916245081504812E-3</v>
      </c>
      <c r="C27" s="150">
        <v>-6.5514357401728063E-3</v>
      </c>
    </row>
    <row r="28" spans="1:3">
      <c r="A28" s="8" t="str">
        <v>Ensemble des produits du sciage</v>
      </c>
      <c r="B28" s="150">
        <v>2.936857562408246E-3</v>
      </c>
      <c r="C28" s="150">
        <v>1.1269276393831573E-2</v>
      </c>
    </row>
    <row r="29" spans="1:3">
      <c r="A29" s="8" t="str">
        <v>Transports routiers</v>
      </c>
      <c r="B29" s="150">
        <v>1.8612071257644303E-3</v>
      </c>
      <c r="C29" s="150">
        <v>3.0642152944313494E-3</v>
      </c>
    </row>
    <row r="30" spans="1:3">
      <c r="A30" s="8" t="str">
        <v>Traitement et élimination des déchets non dangereux</v>
      </c>
      <c r="B30" s="150">
        <v>8.4674005080453973E-4</v>
      </c>
      <c r="C30" s="150">
        <v>-2.1114864864865135E-3</v>
      </c>
    </row>
    <row r="31" spans="1:3">
      <c r="A31" s="8" t="str">
        <v>Câbles de fibres optiques</v>
      </c>
      <c r="B31" s="150">
        <v>8.0677692617991958E-4</v>
      </c>
      <c r="C31" s="150">
        <v>-1.3916500994035741E-2</v>
      </c>
    </row>
    <row r="32" spans="1:3">
      <c r="A32" s="8" t="str">
        <v>Travaux de fonderie de fonte</v>
      </c>
      <c r="B32" s="150">
        <v>-2.6021337496751062E-4</v>
      </c>
      <c r="C32" s="150">
        <v>-1.2083815400437015E-2</v>
      </c>
    </row>
    <row r="33" spans="1:3">
      <c r="A33" s="8" t="str">
        <v>Matériel</v>
      </c>
      <c r="B33" s="150">
        <v>-2.6336581511720025E-3</v>
      </c>
      <c r="C33" s="150">
        <v>1.8494055482165539E-3</v>
      </c>
    </row>
    <row r="34" spans="1:3">
      <c r="A34" s="8" t="str">
        <v>Mortiers et bétons secs</v>
      </c>
      <c r="B34" s="150">
        <v>-4.9562682215744669E-3</v>
      </c>
      <c r="C34" s="150">
        <v>-2.3327015599939882E-3</v>
      </c>
    </row>
    <row r="35" spans="1:3">
      <c r="A35" s="8" t="str">
        <v>Acier pour la construction</v>
      </c>
      <c r="B35" s="150">
        <v>-7.7519379844964709E-3</v>
      </c>
      <c r="C35" s="150">
        <v>-2.8092922744462512E-2</v>
      </c>
    </row>
    <row r="36" spans="1:3">
      <c r="A36" s="8" t="str">
        <v>Tubes, tuyaux en matière plastique</v>
      </c>
      <c r="B36" s="150">
        <v>-8.2372322899505468E-3</v>
      </c>
      <c r="C36" s="150">
        <v>-9.1788231437469614E-3</v>
      </c>
    </row>
    <row r="37" spans="1:3">
      <c r="A37" s="8" t="str">
        <v>Appareils d'éclairage électrique</v>
      </c>
      <c r="B37" s="150">
        <v>-9.0568394753279824E-3</v>
      </c>
      <c r="C37" s="150">
        <v>-1.1627906976744318E-2</v>
      </c>
    </row>
    <row r="38" spans="1:3">
      <c r="A38" s="8" t="str">
        <v>Barres crénelées ou nervurées pour béton armé</v>
      </c>
      <c r="B38" s="150">
        <v>-1.000769822940728E-2</v>
      </c>
      <c r="C38" s="150">
        <v>-2.9654654654654555E-2</v>
      </c>
    </row>
    <row r="39" spans="1:3">
      <c r="A39" s="8" t="str">
        <v>Tuiles, briques et produits de construction en terre cuite</v>
      </c>
      <c r="B39" s="150">
        <v>-1.0981141083790891E-2</v>
      </c>
      <c r="C39" s="150">
        <v>-5.2531041069724393E-3</v>
      </c>
    </row>
    <row r="40" spans="1:3">
      <c r="A40" s="8" t="str">
        <v>Peintures Industries</v>
      </c>
      <c r="B40" s="150">
        <v>-1.3013013013012942E-2</v>
      </c>
      <c r="C40" s="150">
        <v>-3.0643389085581729E-2</v>
      </c>
    </row>
    <row r="41" spans="1:3">
      <c r="A41" s="8" t="str">
        <v>Plaques, feuilles, tubes et profilés en matières plastiques</v>
      </c>
      <c r="B41" s="150">
        <v>-1.387574897508681E-2</v>
      </c>
      <c r="C41" s="150">
        <v>-2.2808378588052625E-2</v>
      </c>
    </row>
    <row r="42" spans="1:3">
      <c r="A42" s="8" t="str">
        <v>Tubes, tuyaux, profilés creux et accessoires correspondants en acier</v>
      </c>
      <c r="B42" s="150">
        <v>-1.4484831921289798E-2</v>
      </c>
      <c r="C42" s="150">
        <v>9.6445301736025613E-4</v>
      </c>
    </row>
    <row r="43" spans="1:3">
      <c r="A43" s="8" t="str">
        <v>Produits de voierie en béton</v>
      </c>
      <c r="B43" s="150">
        <v>-2.1238485158648901E-2</v>
      </c>
      <c r="C43" s="150">
        <v>-1.7782293915915348E-2</v>
      </c>
    </row>
    <row r="44" spans="1:3">
      <c r="A44" s="8" t="str">
        <v>Gaz naturel</v>
      </c>
      <c r="B44" s="150">
        <v>-2.3275862068965369E-2</v>
      </c>
      <c r="C44" s="150">
        <v>-0.15884079236977267</v>
      </c>
    </row>
    <row r="45" spans="1:3">
      <c r="A45" s="8" t="str">
        <v>Matières plastiques sous formes primaires</v>
      </c>
      <c r="B45" s="150">
        <v>-3.6204268292682862E-2</v>
      </c>
      <c r="C45" s="150">
        <v>-7.0023461469049031E-2</v>
      </c>
    </row>
    <row r="46" spans="1:3">
      <c r="A46" s="8" t="str">
        <v>Bitume</v>
      </c>
      <c r="B46" s="150">
        <v>-7.5425038639876263E-2</v>
      </c>
      <c r="C46" s="150">
        <v>-0.13323124042879009</v>
      </c>
    </row>
    <row r="49" spans="1:1">
      <c r="A49" t="s">
        <v>360</v>
      </c>
    </row>
    <row r="50" spans="1:1">
      <c r="A50" t="s">
        <v>129</v>
      </c>
    </row>
    <row r="51" spans="1:1">
      <c r="A51" t="s">
        <v>134</v>
      </c>
    </row>
    <row r="52" spans="1:1">
      <c r="A52" t="s">
        <v>116</v>
      </c>
    </row>
    <row r="53" spans="1:1">
      <c r="A53" t="s">
        <v>117</v>
      </c>
    </row>
    <row r="54" spans="1:1">
      <c r="A54" s="188"/>
    </row>
    <row r="55" spans="1:1">
      <c r="A55" t="s">
        <v>361</v>
      </c>
    </row>
    <row r="56" spans="1:1">
      <c r="A56" t="s">
        <v>138</v>
      </c>
    </row>
    <row r="57" spans="1:1">
      <c r="A57" t="s">
        <v>266</v>
      </c>
    </row>
    <row r="58" spans="1:1">
      <c r="A58" s="188"/>
    </row>
    <row r="59" spans="1:1">
      <c r="A59" s="188"/>
    </row>
    <row r="60" spans="1:1">
      <c r="A60" s="188"/>
    </row>
    <row r="61" spans="1:1">
      <c r="A61" s="188"/>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60" t="s">
        <v>222</v>
      </c>
      <c r="C1" s="260"/>
      <c r="D1" s="10"/>
    </row>
    <row r="2" spans="1:4">
      <c r="A2" s="126"/>
      <c r="B2" s="126"/>
      <c r="C2" s="126"/>
      <c r="D2" s="126"/>
    </row>
    <row r="3" spans="1:4">
      <c r="A3" s="126"/>
      <c r="B3" s="126"/>
      <c r="C3" s="126"/>
      <c r="D3" s="126"/>
    </row>
    <row r="4" spans="1:4">
      <c r="A4" s="125"/>
      <c r="B4" s="126"/>
      <c r="C4" s="126"/>
      <c r="D4" s="125"/>
    </row>
    <row r="5" spans="1:4">
      <c r="A5" s="252" t="s">
        <v>223</v>
      </c>
      <c r="B5" s="252"/>
      <c r="C5" s="252"/>
      <c r="D5" s="252"/>
    </row>
    <row r="6" spans="1:4">
      <c r="A6" s="252"/>
      <c r="B6" s="252"/>
      <c r="C6" s="252"/>
      <c r="D6" s="252"/>
    </row>
    <row r="7" spans="1:4" ht="18" customHeight="1">
      <c r="A7" s="252"/>
      <c r="B7" s="252"/>
      <c r="C7" s="252"/>
      <c r="D7" s="252"/>
    </row>
    <row r="8" spans="1:4">
      <c r="A8" s="256" t="str">
        <f>"Cette édition porte sur les données de "&amp;TEXT(DATE3,"mmmmmmmm aaaa")&amp;".  A noter que depuis janvier 2024, certains index ont été créés, expliquant ainsi une impossibilité de calculer leur évolution passée."</f>
        <v>Cette édition porte sur les données de février 2026.  A noter que depuis janvier 2024, certains index ont été créés, expliquant ainsi une impossibilité de calculer leur évolution passée.</v>
      </c>
      <c r="B8" s="256"/>
      <c r="C8" s="256"/>
      <c r="D8" s="256"/>
    </row>
    <row r="9" spans="1:4">
      <c r="A9" s="256"/>
      <c r="B9" s="256"/>
      <c r="C9" s="256"/>
      <c r="D9" s="256"/>
    </row>
    <row r="10" spans="1:4">
      <c r="A10" s="264" t="s">
        <v>224</v>
      </c>
      <c r="B10" s="264"/>
      <c r="C10" s="264"/>
      <c r="D10" s="264"/>
    </row>
    <row r="11" spans="1:4">
      <c r="A11" s="264"/>
      <c r="B11" s="264"/>
      <c r="C11" s="264"/>
      <c r="D11" s="264"/>
    </row>
    <row r="12" spans="1:4">
      <c r="A12" s="121"/>
      <c r="B12" s="121"/>
      <c r="C12" s="121"/>
      <c r="D12" s="121"/>
    </row>
    <row r="13" spans="1:4">
      <c r="A13" s="128" t="s">
        <v>225</v>
      </c>
      <c r="B13" s="126"/>
      <c r="C13" s="125"/>
      <c r="D13" s="126"/>
    </row>
    <row r="14" spans="1:4">
      <c r="A14" s="126"/>
      <c r="B14" s="125"/>
      <c r="C14" s="125"/>
      <c r="D14" s="126"/>
    </row>
    <row r="15" spans="1:4">
      <c r="A15" s="266" t="s">
        <v>226</v>
      </c>
      <c r="B15" s="266"/>
      <c r="C15" s="266"/>
      <c r="D15" s="266"/>
    </row>
    <row r="16" spans="1:4">
      <c r="A16" s="129"/>
      <c r="B16" s="126"/>
      <c r="C16" s="126"/>
      <c r="D16" s="126"/>
    </row>
    <row r="17" spans="1:4">
      <c r="A17" s="263" t="s">
        <v>227</v>
      </c>
      <c r="B17" s="263"/>
      <c r="C17" s="126"/>
      <c r="D17" s="126"/>
    </row>
    <row r="18" spans="1:4">
      <c r="A18" s="263"/>
      <c r="B18" s="263"/>
      <c r="C18" s="126"/>
      <c r="D18" s="126"/>
    </row>
    <row r="19" spans="1:4">
      <c r="A19" s="126"/>
      <c r="B19" s="126"/>
      <c r="C19" s="126"/>
      <c r="D19" s="126"/>
    </row>
    <row r="20" spans="1:4">
      <c r="A20" s="126"/>
      <c r="B20" s="126"/>
      <c r="C20" s="126"/>
      <c r="D20" s="126"/>
    </row>
    <row r="21" spans="1:4">
      <c r="A21" s="263" t="s">
        <v>228</v>
      </c>
      <c r="B21" s="263"/>
      <c r="C21" s="126"/>
      <c r="D21" s="126"/>
    </row>
    <row r="22" spans="1:4">
      <c r="A22" s="263"/>
      <c r="B22" s="263"/>
      <c r="C22" s="126"/>
      <c r="D22" s="126"/>
    </row>
    <row r="23" spans="1:4">
      <c r="A23" s="264"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01/02/2026</v>
      </c>
      <c r="B23" s="264"/>
      <c r="C23" s="126"/>
      <c r="D23" s="126"/>
    </row>
    <row r="24" spans="1:4">
      <c r="A24" s="264"/>
      <c r="B24" s="264"/>
      <c r="C24" s="126"/>
      <c r="D24" s="126"/>
    </row>
    <row r="25" spans="1:4">
      <c r="A25" s="126"/>
      <c r="B25" s="126"/>
      <c r="C25" s="126"/>
      <c r="D25" s="126"/>
    </row>
    <row r="26" spans="1:4">
      <c r="A26" s="126"/>
      <c r="B26" s="126"/>
      <c r="C26" s="126"/>
      <c r="D26" s="126"/>
    </row>
    <row r="27" spans="1:4">
      <c r="A27" s="265" t="s">
        <v>229</v>
      </c>
      <c r="B27" s="265"/>
      <c r="C27" s="126"/>
      <c r="D27" s="126"/>
    </row>
    <row r="28" spans="1:4">
      <c r="A28" s="265"/>
      <c r="B28" s="265"/>
      <c r="C28" s="126"/>
      <c r="D28" s="126"/>
    </row>
    <row r="29" spans="1:4">
      <c r="A29" s="265"/>
      <c r="B29" s="265"/>
      <c r="C29" s="126"/>
      <c r="D29" s="126"/>
    </row>
    <row r="30" spans="1:4">
      <c r="A30" s="265"/>
      <c r="B30" s="265"/>
      <c r="C30" s="126"/>
      <c r="D30" s="126"/>
    </row>
    <row r="31" spans="1:4">
      <c r="A31" s="265" t="s">
        <v>230</v>
      </c>
      <c r="B31" s="265"/>
      <c r="C31" s="126"/>
      <c r="D31" s="126"/>
    </row>
    <row r="32" spans="1:4">
      <c r="A32" s="265"/>
      <c r="B32" s="265"/>
      <c r="C32" s="126"/>
      <c r="D32" s="126"/>
    </row>
    <row r="33" spans="1:4">
      <c r="A33" s="265"/>
      <c r="B33" s="265"/>
      <c r="C33" s="126"/>
      <c r="D33" s="126"/>
    </row>
    <row r="34" spans="1:4">
      <c r="A34" s="265"/>
      <c r="B34" s="265"/>
      <c r="C34" s="126"/>
      <c r="D34" s="126"/>
    </row>
    <row r="35" spans="1:4">
      <c r="A35" s="265"/>
      <c r="B35" s="265"/>
      <c r="C35" s="126"/>
      <c r="D35" s="126"/>
    </row>
    <row r="36" spans="1:4" ht="15" customHeight="1">
      <c r="A36" s="265" t="s">
        <v>231</v>
      </c>
      <c r="B36" s="265"/>
      <c r="C36" s="126"/>
      <c r="D36" s="126"/>
    </row>
    <row r="37" spans="1:4">
      <c r="A37" s="265"/>
      <c r="B37" s="265"/>
      <c r="C37" s="126"/>
      <c r="D37" s="126"/>
    </row>
    <row r="38" spans="1:4">
      <c r="A38" s="265"/>
      <c r="B38" s="265"/>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110" zoomScaleNormal="110" workbookViewId="0">
      <selection activeCell="R26" sqref="R26"/>
    </sheetView>
  </sheetViews>
  <sheetFormatPr baseColWidth="10" defaultRowHeight="15"/>
  <cols>
    <col min="9" max="15" width="14.28515625" customWidth="1"/>
  </cols>
  <sheetData>
    <row r="1" spans="1:16">
      <c r="A1" s="247" t="s">
        <v>178</v>
      </c>
      <c r="B1" s="247"/>
      <c r="C1" s="247"/>
      <c r="D1" s="247"/>
      <c r="E1" s="247"/>
      <c r="F1" s="247"/>
      <c r="G1" s="247"/>
      <c r="H1" s="247"/>
      <c r="I1" s="247"/>
      <c r="J1" s="247"/>
      <c r="K1" s="247"/>
      <c r="L1" s="247"/>
      <c r="M1" s="247"/>
      <c r="N1" s="247"/>
      <c r="O1" s="247"/>
    </row>
    <row r="2" spans="1:16">
      <c r="A2" s="11"/>
      <c r="B2" s="12"/>
      <c r="C2" s="12"/>
      <c r="D2" s="12"/>
      <c r="E2" s="12"/>
      <c r="F2" s="12"/>
      <c r="G2" s="12"/>
      <c r="H2" s="12"/>
      <c r="I2" s="12"/>
      <c r="J2" s="12"/>
      <c r="K2" s="11"/>
      <c r="L2" s="11"/>
      <c r="M2" s="11"/>
      <c r="N2" s="11"/>
    </row>
    <row r="3" spans="1:16">
      <c r="A3" s="46" t="s">
        <v>160</v>
      </c>
      <c r="B3" s="47" t="s">
        <v>20</v>
      </c>
      <c r="C3" s="11"/>
      <c r="D3" s="261" t="str">
        <f>B3&amp;" - "&amp;VLOOKUP(B3,'NOMS INDEX'!A1:B24,2,FALSE)</f>
        <v>TP02 - Travaux de génie civil et d’ouvrages d’art neufs ou rénovation</v>
      </c>
      <c r="E3" s="261"/>
      <c r="F3" s="261"/>
      <c r="G3" s="261"/>
      <c r="H3" s="261"/>
      <c r="I3" s="261"/>
      <c r="J3" s="261"/>
      <c r="K3" s="261"/>
      <c r="L3" s="261"/>
      <c r="N3" s="269" t="s">
        <v>179</v>
      </c>
      <c r="O3" s="114">
        <v>43101</v>
      </c>
    </row>
    <row r="4" spans="1:16">
      <c r="A4" s="11"/>
      <c r="B4" s="11"/>
      <c r="C4" s="11"/>
      <c r="D4" s="11"/>
      <c r="E4" s="11"/>
      <c r="F4" s="11"/>
      <c r="G4" s="11"/>
      <c r="H4" s="11"/>
      <c r="I4" s="11"/>
      <c r="J4" s="11"/>
      <c r="K4" s="11"/>
      <c r="N4" s="269"/>
      <c r="O4" s="114">
        <v>46054</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60" t="str">
        <f>"Composition globale du "&amp;B3</f>
        <v>Composition globale du TP02</v>
      </c>
      <c r="L6" s="260"/>
      <c r="M6" s="260"/>
      <c r="N6" s="260"/>
      <c r="O6" s="260"/>
    </row>
    <row r="7" spans="1:16">
      <c r="A7" s="11"/>
      <c r="B7" s="11"/>
      <c r="C7" s="11"/>
      <c r="D7" s="11"/>
      <c r="E7" s="11"/>
      <c r="F7" s="11"/>
      <c r="G7" s="49"/>
      <c r="H7" s="49"/>
      <c r="I7" s="49"/>
      <c r="J7" s="11"/>
      <c r="K7" s="11"/>
      <c r="L7" s="11"/>
      <c r="M7" s="11"/>
      <c r="N7" s="11"/>
    </row>
    <row r="8" spans="1:16">
      <c r="A8" s="51"/>
      <c r="B8" s="51"/>
      <c r="C8" s="51"/>
      <c r="D8" s="11"/>
      <c r="E8" s="11"/>
      <c r="F8" s="11"/>
      <c r="G8" s="270" t="str">
        <f>"Evolution entre "&amp;TEXT(DATE1,"mmm. aaaa")&amp;" et "&amp;TEXT(DATE2,"mmm. aaaa")</f>
        <v>Evolution entre janv. 2018 et févr. 2026</v>
      </c>
      <c r="H8" s="270"/>
      <c r="I8" s="270"/>
      <c r="J8" s="11"/>
      <c r="K8" s="11"/>
      <c r="L8" s="11"/>
      <c r="M8" s="11"/>
      <c r="N8" s="11"/>
    </row>
    <row r="9" spans="1:16">
      <c r="A9" s="53"/>
      <c r="B9" s="54"/>
      <c r="C9" s="54"/>
      <c r="D9" s="11"/>
      <c r="E9" s="11"/>
      <c r="F9" s="11"/>
      <c r="G9" s="55" t="s">
        <v>19</v>
      </c>
      <c r="H9" s="56">
        <f>INDEX('DONNEES DATE A DATE'!U15:W37,MATCH(G9,'DONNEES DATE A DATE'!U15:U37,0),3)</f>
        <v>0.2320596458527493</v>
      </c>
      <c r="I9" s="11"/>
      <c r="J9" s="52"/>
      <c r="K9" s="11"/>
      <c r="L9" s="11"/>
      <c r="M9" s="11"/>
      <c r="N9" s="11"/>
    </row>
    <row r="10" spans="1:16">
      <c r="A10" s="11"/>
      <c r="B10" s="11"/>
      <c r="C10" s="11"/>
      <c r="D10" s="11"/>
      <c r="E10" s="11"/>
      <c r="F10" s="11"/>
      <c r="G10" s="57" t="str">
        <f>B3</f>
        <v>TP02</v>
      </c>
      <c r="H10" s="58">
        <f>INDEX('DONNEES DATE A DATE'!U15:W38,MATCH(G10,'DONNEES DATE A DATE'!U15:U38,0),3)</f>
        <v>0.23651079136690645</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7" t="str">
        <f>"Part du "&amp;B3&amp;" dans le TP01"</f>
        <v>Part du TP02 dans le TP01</v>
      </c>
      <c r="H12" s="247"/>
      <c r="I12" s="247"/>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0" t="s">
        <v>161</v>
      </c>
      <c r="B18" s="260"/>
      <c r="C18" s="260"/>
      <c r="D18" s="260"/>
      <c r="E18" s="260"/>
      <c r="F18" s="260"/>
      <c r="G18" s="260"/>
      <c r="H18" s="260"/>
      <c r="I18" s="260"/>
      <c r="J18" s="260"/>
      <c r="K18" s="260"/>
      <c r="L18" s="260"/>
      <c r="M18" s="260"/>
      <c r="N18" s="260"/>
      <c r="O18" s="260"/>
    </row>
    <row r="19" spans="1:15">
      <c r="A19" s="11"/>
      <c r="B19" s="11"/>
      <c r="C19" s="11"/>
      <c r="D19" s="11"/>
      <c r="E19" s="262" t="str">
        <f>B20</f>
        <v>Evolution entre janv. 2018 et févr. 2026</v>
      </c>
      <c r="F19" s="262"/>
      <c r="G19" s="262"/>
      <c r="H19" s="262"/>
      <c r="I19" s="11"/>
      <c r="J19" s="11"/>
      <c r="K19" s="11"/>
      <c r="L19" s="11"/>
      <c r="M19" s="11"/>
      <c r="N19" s="11"/>
    </row>
    <row r="20" spans="1:15" ht="24">
      <c r="A20" s="60"/>
      <c r="B20" s="268" t="str">
        <f>"Evolution entre "&amp;TEXT(DATE1,"mmm. aaaa")&amp;" et "&amp;TEXT(DATE2,"mmm. aaaa")</f>
        <v>Evolution entre janv. 2018 et févr. 2026</v>
      </c>
      <c r="C20" s="268"/>
      <c r="D20" s="61" t="str">
        <f>"Part dans le "&amp;B3</f>
        <v>Part dans le TP02</v>
      </c>
      <c r="E20" s="11"/>
      <c r="F20" s="11"/>
      <c r="G20" s="11"/>
      <c r="H20" s="11"/>
      <c r="I20" s="11"/>
      <c r="J20" s="11"/>
      <c r="K20" s="11"/>
      <c r="L20" s="11"/>
      <c r="M20" s="11"/>
      <c r="N20" s="11"/>
    </row>
    <row r="21" spans="1:15">
      <c r="A21" s="62" t="s">
        <v>115</v>
      </c>
      <c r="B21" s="271">
        <f>INDEX('DONNEES DATE A DATE'!R15:S55,MATCH(A21,'DONNEES DATE A DATE'!R15:R55,0),2)</f>
        <v>0.20653218059558109</v>
      </c>
      <c r="C21" s="271"/>
      <c r="D21" s="64">
        <f>INDEX(compo_index,MATCH(B3,'COMPOSITION INDEX'!A1:A27,0),MATCH(A21,'COMPOSITION INDEX'!A2:AR2,0))</f>
        <v>0.21</v>
      </c>
      <c r="E21" s="11"/>
      <c r="F21" s="11"/>
      <c r="G21" s="11"/>
      <c r="H21" s="11"/>
      <c r="I21" s="11"/>
      <c r="J21" s="11"/>
      <c r="K21" s="11"/>
      <c r="L21" s="11"/>
      <c r="M21" s="11"/>
      <c r="N21" s="11"/>
    </row>
    <row r="22" spans="1:15">
      <c r="A22" s="62" t="s">
        <v>116</v>
      </c>
      <c r="B22" s="267">
        <f>INDEX('DONNEES DATE A DATE'!R15:S55,MATCH(A22,'DONNEES DATE A DATE'!R15:R55,0),2)</f>
        <v>0.20373514431239403</v>
      </c>
      <c r="C22" s="267"/>
      <c r="D22" s="64">
        <f>INDEX(compo_index,MATCH(B3,'COMPOSITION INDEX'!A1:A27,0),MATCH(A22,'COMPOSITION INDEX'!A2:AR2,0))</f>
        <v>0.5</v>
      </c>
      <c r="E22" s="11"/>
      <c r="F22" s="11"/>
      <c r="G22" s="11"/>
      <c r="H22" s="11"/>
      <c r="I22" s="11"/>
      <c r="J22" s="11"/>
      <c r="K22" s="11"/>
      <c r="L22" s="11"/>
      <c r="M22" s="11"/>
      <c r="N22" s="11"/>
    </row>
    <row r="23" spans="1:15">
      <c r="A23" s="65" t="s">
        <v>316</v>
      </c>
      <c r="B23" s="267">
        <f>INDEX('DONNEES DATE A DATE'!R15:S55,MATCH(A23,'DONNEES DATE A DATE'!R15:R55,0),2)</f>
        <v>0.53084779348803579</v>
      </c>
      <c r="C23" s="267"/>
      <c r="D23" s="64">
        <f>INDEX(compo_index,MATCH(B3,'COMPOSITION INDEX'!A1:A27,0),MATCH(A23,'COMPOSITION INDEX'!A2:AR2,0))</f>
        <v>0.01</v>
      </c>
      <c r="E23" s="11"/>
      <c r="F23" s="11"/>
      <c r="G23" s="11"/>
      <c r="H23" s="11"/>
      <c r="I23" s="11"/>
      <c r="J23" s="11"/>
      <c r="K23" s="11"/>
      <c r="L23" s="11"/>
      <c r="M23" s="11"/>
      <c r="N23" s="11"/>
    </row>
    <row r="24" spans="1:15">
      <c r="A24" s="62" t="s">
        <v>118</v>
      </c>
      <c r="B24" s="267">
        <f>INDEX('DONNEES DATE A DATE'!R15:S55,MATCH(A24,'DONNEES DATE A DATE'!R15:R55,0),2)</f>
        <v>0.19216138328530263</v>
      </c>
      <c r="C24" s="267"/>
      <c r="D24" s="64">
        <f>INDEX(compo_index,MATCH(B3,'COMPOSITION INDEX'!A1:A27,0),MATCH(A24,'COMPOSITION INDEX'!A2:AR2,0))</f>
        <v>0</v>
      </c>
      <c r="E24" s="11"/>
      <c r="F24" s="54"/>
      <c r="G24" s="11"/>
      <c r="H24" s="11"/>
      <c r="I24" s="11"/>
      <c r="J24" s="11"/>
      <c r="K24" s="11"/>
      <c r="L24" s="11"/>
      <c r="M24" s="11"/>
      <c r="N24" s="11"/>
    </row>
    <row r="25" spans="1:15">
      <c r="A25" s="65" t="s">
        <v>119</v>
      </c>
      <c r="B25" s="267">
        <f>INDEX('DONNEES DATE A DATE'!R15:S55,MATCH(A25,'DONNEES DATE A DATE'!R15:R55,0),2)</f>
        <v>0.174384236453202</v>
      </c>
      <c r="C25" s="267"/>
      <c r="D25" s="64">
        <f>INDEX(compo_index,MATCH(B3,'COMPOSITION INDEX'!A1:A27,0),MATCH(A25,'COMPOSITION INDEX'!A2:AR2,0))</f>
        <v>0.01</v>
      </c>
      <c r="E25" s="11"/>
      <c r="F25" s="66"/>
      <c r="G25" s="11"/>
      <c r="H25" s="11"/>
      <c r="I25" s="11"/>
      <c r="J25" s="11"/>
      <c r="K25" s="11"/>
      <c r="L25" s="11"/>
      <c r="M25" s="11"/>
      <c r="N25" s="11"/>
    </row>
    <row r="26" spans="1:15">
      <c r="A26" s="65" t="s">
        <v>162</v>
      </c>
      <c r="B26" s="272">
        <f>INDEX('DONNEES DATE A DATE'!R15:S55,MATCH('DONNEES DATE A DATE'!L21,'DONNEES DATE A DATE'!R15:R55,0),2)</f>
        <v>0.19635099913119025</v>
      </c>
      <c r="C26" s="272"/>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60" t="str">
        <f>"Evolution des indices spécifiques au "&amp;B3</f>
        <v>Evolution des indices spécifiques au TP02</v>
      </c>
      <c r="B30" s="260"/>
      <c r="C30" s="260"/>
      <c r="D30" s="260"/>
      <c r="E30" s="260"/>
      <c r="F30" s="260"/>
      <c r="G30" s="260"/>
      <c r="H30" s="260"/>
      <c r="I30" s="260"/>
      <c r="J30" s="260"/>
      <c r="K30" s="260"/>
      <c r="L30" s="260"/>
      <c r="M30" s="260"/>
      <c r="N30" s="260"/>
      <c r="O30" s="260"/>
    </row>
    <row r="31" spans="1:15" ht="24" customHeight="1">
      <c r="A31" s="257" t="s">
        <v>177</v>
      </c>
      <c r="B31" s="257"/>
      <c r="C31" s="257"/>
      <c r="D31" s="257"/>
      <c r="E31" s="257"/>
      <c r="F31" s="257"/>
      <c r="G31" s="268" t="str">
        <f>"Evolution entre "&amp;TEXT(DATE1,"mmm. aaaa")&amp;" et "&amp;TEXT(DATE2,"mmm. aaaa")</f>
        <v>Evolution entre janv. 2018 et févr. 2026</v>
      </c>
      <c r="H31" s="268"/>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7">
        <f>IF('DONNEES DATE A DATE'!O15&lt;&gt;0,VLOOKUP('DONNEES DATE A DATE'!N15,'DONNEES DATE A DATE'!$R$15:$S$55,2,FALSE),"")</f>
        <v>0.20373514431239403</v>
      </c>
      <c r="H32" s="267"/>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7">
        <f>IF('DONNEES DATE A DATE'!O16&lt;&gt;0,VLOOKUP('DONNEES DATE A DATE'!N16,'DONNEES DATE A DATE'!$R$15:$S$55,2,FALSE),"")</f>
        <v>0.20653218059558109</v>
      </c>
      <c r="H33" s="267"/>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7">
        <f>IF('DONNEES DATE A DATE'!O17&lt;&gt;0,VLOOKUP('DONNEES DATE A DATE'!N17,'DONNEES DATE A DATE'!$R$15:$S$55,2,FALSE),"")</f>
        <v>0.42267228915662658</v>
      </c>
      <c r="H34" s="267"/>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7">
        <f>IF('DONNEES DATE A DATE'!O18&lt;&gt;0,VLOOKUP('DONNEES DATE A DATE'!N18,'DONNEES DATE A DATE'!$R$15:$S$55,2,FALSE),"")</f>
        <v>0.14442934272300478</v>
      </c>
      <c r="H35" s="267"/>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7">
        <f>IF('DONNEES DATE A DATE'!O19&lt;&gt;0,VLOOKUP('DONNEES DATE A DATE'!N19,'DONNEES DATE A DATE'!$R$15:$S$55,2,FALSE),"")</f>
        <v>0.53084779348803579</v>
      </c>
      <c r="H36" s="267"/>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7">
        <f>IF('DONNEES DATE A DATE'!O20&lt;&gt;0,VLOOKUP('DONNEES DATE A DATE'!N20,'DONNEES DATE A DATE'!$R$15:$S$55,2,FALSE),"")</f>
        <v>0.174384236453202</v>
      </c>
      <c r="H37" s="267"/>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7">
        <f>IF('DONNEES DATE A DATE'!O21&lt;&gt;0,VLOOKUP('DONNEES DATE A DATE'!N21,'DONNEES DATE A DATE'!$R$15:$S$55,2,FALSE),"")</f>
        <v>0.19034090909090917</v>
      </c>
      <c r="H38" s="267"/>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7">
        <f>IF('DONNEES DATE A DATE'!O22&lt;&gt;0,VLOOKUP('DONNEES DATE A DATE'!N22,'DONNEES DATE A DATE'!$R$15:$S$55,2,FALSE),"")</f>
        <v>0.6761102304147466</v>
      </c>
      <c r="H39" s="267"/>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7">
        <f>IF('DONNEES DATE A DATE'!O23&lt;&gt;0,VLOOKUP('DONNEES DATE A DATE'!N23,'DONNEES DATE A DATE'!$R$15:$S$55,2,FALSE),"")</f>
        <v>0.1658221659919028</v>
      </c>
      <c r="H40" s="267"/>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7">
        <f>IF('DONNEES DATE A DATE'!O24&lt;&gt;0,VLOOKUP('DONNEES DATE A DATE'!N24,'DONNEES DATE A DATE'!$R$15:$S$55,2,FALSE),"")</f>
        <v>0.39119804400977998</v>
      </c>
      <c r="H41" s="267"/>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7">
        <f>IF('DONNEES DATE A DATE'!O25&lt;&gt;0,VLOOKUP('DONNEES DATE A DATE'!N25,'DONNEES DATE A DATE'!$R$15:$S$55,2,FALSE),"")</f>
        <v>0.32039660056657215</v>
      </c>
      <c r="H42" s="267"/>
      <c r="I42" s="146">
        <f>IF('DONNEES DATE A DATE'!O25&lt;&gt;0,'DONNEES DATE A DATE'!O25,"")</f>
        <v>0.01</v>
      </c>
    </row>
    <row r="43" spans="1:14">
      <c r="A43" s="74" t="str">
        <f>IF('DONNEES DATE A DATE'!O26&lt;&gt;0,'DONNEES DATE A DATE'!N26,"")</f>
        <v/>
      </c>
      <c r="G43" s="267" t="str">
        <f>IF('DONNEES DATE A DATE'!O26&lt;&gt;0,VLOOKUP('DONNEES DATE A DATE'!N26,'DONNEES DATE A DATE'!$R$15:$S$55,2,FALSE),"")</f>
        <v/>
      </c>
      <c r="H43" s="267"/>
      <c r="I43" s="146" t="str">
        <f>IF('DONNEES DATE A DATE'!O26&lt;&gt;0,'DONNEES DATE A DATE'!O26,"")</f>
        <v/>
      </c>
      <c r="L43" s="33"/>
    </row>
    <row r="44" spans="1:14">
      <c r="A44" s="74" t="str">
        <f>IF('DONNEES DATE A DATE'!O27&lt;&gt;0,'DONNEES DATE A DATE'!N27,"")</f>
        <v/>
      </c>
      <c r="G44" s="267" t="str">
        <f>IF('DONNEES DATE A DATE'!O27&lt;&gt;0,VLOOKUP('DONNEES DATE A DATE'!N27,'DONNEES DATE A DATE'!$R$15:$S$55,2,FALSE),"")</f>
        <v/>
      </c>
      <c r="H44" s="267"/>
      <c r="I44" s="146" t="str">
        <f>IF('DONNEES DATE A DATE'!O27&lt;&gt;0,'DONNEES DATE A DATE'!O27,"")</f>
        <v/>
      </c>
      <c r="L44" s="74"/>
    </row>
    <row r="45" spans="1:14">
      <c r="A45" s="74" t="str">
        <f>IF('DONNEES DATE A DATE'!O28&lt;&gt;0,'DONNEES DATE A DATE'!N28,"")</f>
        <v/>
      </c>
      <c r="G45" s="267" t="str">
        <f>IF('DONNEES DATE A DATE'!O28&lt;&gt;0,VLOOKUP('DONNEES DATE A DATE'!N28,'DONNEES DATE A DATE'!$R$15:$S$55,2,FALSE),"")</f>
        <v/>
      </c>
      <c r="H45" s="267"/>
      <c r="I45" s="146" t="str">
        <f>IF('DONNEES DATE A DATE'!O28&lt;&gt;0,'DONNEES DATE A DATE'!O28,"")</f>
        <v/>
      </c>
      <c r="L45" s="74"/>
    </row>
    <row r="46" spans="1:14">
      <c r="A46" s="74" t="str">
        <f>IF('DONNEES DATE A DATE'!O29&lt;&gt;0,'DONNEES DATE A DATE'!N29,"")</f>
        <v/>
      </c>
      <c r="G46" s="267" t="str">
        <f>IF('DONNEES DATE A DATE'!O29&lt;&gt;0,VLOOKUP('DONNEES DATE A DATE'!N29,'DONNEES DATE A DATE'!$R$15:$S$55,2,FALSE),"")</f>
        <v/>
      </c>
      <c r="H46" s="267"/>
      <c r="I46" s="146" t="str">
        <f>IF('DONNEES DATE A DATE'!O29&lt;&gt;0,'DONNEES DATE A DATE'!O29,"")</f>
        <v/>
      </c>
    </row>
    <row r="47" spans="1:14">
      <c r="A47" s="74" t="str">
        <f>IF('DONNEES DATE A DATE'!O30&lt;&gt;0,'DONNEES DATE A DATE'!N30,"")</f>
        <v/>
      </c>
      <c r="G47" s="267" t="str">
        <f>IF('DONNEES DATE A DATE'!O30&lt;&gt;0,VLOOKUP('DONNEES DATE A DATE'!N30,'DONNEES DATE A DATE'!$R$15:$S$55,2,FALSE),"")</f>
        <v/>
      </c>
      <c r="H47" s="267"/>
      <c r="I47" s="146" t="str">
        <f>IF('DONNEES DATE A DATE'!O30&lt;&gt;0,'DONNEES DATE A DATE'!O30,"")</f>
        <v/>
      </c>
    </row>
    <row r="48" spans="1:14">
      <c r="A48" s="74" t="str">
        <f>IF('DONNEES DATE A DATE'!O31&lt;&gt;0,'DONNEES DATE A DATE'!N31,"")</f>
        <v/>
      </c>
      <c r="G48" s="267" t="str">
        <f>IF('DONNEES DATE A DATE'!O31&lt;&gt;0,VLOOKUP('DONNEES DATE A DATE'!N31,'DONNEES DATE A DATE'!$R$15:$S$55,2,FALSE),"")</f>
        <v/>
      </c>
      <c r="H48" s="267"/>
      <c r="I48" s="146" t="str">
        <f>IF('DONNEES DATE A DATE'!O31&lt;&gt;0,'DONNEES DATE A DATE'!O31,"")</f>
        <v/>
      </c>
    </row>
    <row r="49" spans="1:8">
      <c r="A49" s="74" t="str">
        <f>IF('DONNEES DATE A DATE'!O32&lt;&gt;0,'DONNEES DATE A DATE'!N32,"")</f>
        <v/>
      </c>
      <c r="G49" s="267" t="str">
        <f>IF('DONNEES DATE A DATE'!O32&lt;&gt;0,VLOOKUP('DONNEES DATE A DATE'!N32,'DONNEES DATE A DATE'!$R$15:$S$55,2,FALSE),"")</f>
        <v/>
      </c>
      <c r="H49" s="267"/>
    </row>
    <row r="50" spans="1:8">
      <c r="A50" s="74" t="str">
        <f>IF('DONNEES DATE A DATE'!O33&lt;&gt;0,'DONNEES DATE A DATE'!N33,"")</f>
        <v/>
      </c>
      <c r="G50" s="267" t="str">
        <f>IF('DONNEES DATE A DATE'!O33&lt;&gt;0,VLOOKUP('DONNEES DATE A DATE'!N33,'DONNEES DATE A DATE'!$R$15:$S$55,2,FALSE),"")</f>
        <v/>
      </c>
      <c r="H50" s="267"/>
    </row>
    <row r="51" spans="1:8">
      <c r="G51" s="267" t="str">
        <f>IF('DONNEES DATE A DATE'!O34&lt;&gt;0,VLOOKUP('DONNEES DATE A DATE'!N34,'DONNEES DATE A DATE'!$R$15:$S$55,2,FALSE),"")</f>
        <v/>
      </c>
      <c r="H51" s="267"/>
    </row>
    <row r="52" spans="1:8">
      <c r="G52" s="267" t="str">
        <f>IF('DONNEES DATE A DATE'!O35&lt;&gt;0,VLOOKUP('DONNEES DATE A DATE'!N35,'DONNEES DATE A DATE'!$R$15:$S$55,2,FALSE),"")</f>
        <v/>
      </c>
      <c r="H52" s="267"/>
    </row>
    <row r="53" spans="1:8">
      <c r="G53" s="267" t="str">
        <f>IF('DONNEES DATE A DATE'!O36&lt;&gt;0,VLOOKUP('DONNEES DATE A DATE'!N36,'DONNEES DATE A DATE'!$R$15:$S$55,2,FALSE),"")</f>
        <v/>
      </c>
      <c r="H53" s="267"/>
    </row>
    <row r="54" spans="1:8">
      <c r="G54" s="267" t="str">
        <f>IF('DONNEES DATE A DATE'!O37&lt;&gt;0,VLOOKUP('DONNEES DATE A DATE'!N37,'DONNEES DATE A DATE'!$R$15:$S$55,2,FALSE),"")</f>
        <v/>
      </c>
      <c r="H54" s="267"/>
    </row>
    <row r="55" spans="1:8">
      <c r="G55" s="267" t="str">
        <f>IF('DONNEES DATE A DATE'!O38&lt;&gt;0,VLOOKUP('DONNEES DATE A DATE'!N38,'DONNEES DATE A DATE'!$R$15:$S$55,2,FALSE),"")</f>
        <v/>
      </c>
      <c r="H55" s="267"/>
    </row>
    <row r="56" spans="1:8">
      <c r="G56" s="267" t="str">
        <f>IF('DONNEES DATE A DATE'!O39&lt;&gt;0,VLOOKUP('DONNEES DATE A DATE'!N39,'DONNEES DATE A DATE'!$R$15:$S$55,2,FALSE),"")</f>
        <v/>
      </c>
      <c r="H56" s="267"/>
    </row>
    <row r="57" spans="1:8">
      <c r="G57" s="267" t="str">
        <f>IF('DONNEES DATE A DATE'!O40&lt;&gt;0,VLOOKUP('DONNEES DATE A DATE'!N40,'DONNEES DATE A DATE'!$R$15:$S$55,2,FALSE),"")</f>
        <v/>
      </c>
      <c r="H57" s="267"/>
    </row>
    <row r="58" spans="1:8">
      <c r="G58" s="267" t="str">
        <f>IF('DONNEES DATE A DATE'!O41&lt;&gt;0,VLOOKUP('DONNEES DATE A DATE'!N41,'DONNEES DATE A DATE'!$R$15:$S$55,2,FALSE),"")</f>
        <v/>
      </c>
      <c r="H58" s="267"/>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11/2025" sqref="O3" xr:uid="{E07CCCA1-6472-4E2C-A3CB-CD903F48883E}">
      <formula1>43101</formula1>
      <formula2>45962</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12/2025_x000a_" sqref="O4" xr:uid="{077D1335-32F9-47F7-BEAA-D3FFC4B52E05}">
      <formula1>43132</formula1>
      <formula2>46054</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62"/>
  <sheetViews>
    <sheetView showGridLines="0" topLeftCell="A228" workbookViewId="0">
      <selection activeCell="E258" sqref="E258"/>
    </sheetView>
  </sheetViews>
  <sheetFormatPr baseColWidth="10" defaultRowHeight="15"/>
  <cols>
    <col min="2" max="2" width="69.42578125" bestFit="1" customWidth="1"/>
    <col min="3" max="4" width="10" style="151" bestFit="1" customWidth="1"/>
  </cols>
  <sheetData>
    <row r="1" spans="1:11">
      <c r="A1" s="274" t="str">
        <f>"CLASSEMENT DES INDICES SELON LEUR ÉVOLUTION A FIN "&amp;'A MODIFIER'!F4&amp;" EN CUMUL DEPUIS JANVIER PAR RAPPORT À "&amp;TEXT(EDATE(DATE4,-12),"aaaa")&amp;" ET "&amp;TEXT(EDATE(DATE4,-24),"aaaa")</f>
        <v>CLASSEMENT DES INDICES SELON LEUR ÉVOLUTION A FIN FÉVRIER 2026 EN CUMUL DEPUIS JANVIER PAR RAPPORT À 2025 ET 2024</v>
      </c>
      <c r="B1" s="274"/>
      <c r="C1" s="274"/>
      <c r="D1" s="274"/>
      <c r="E1" s="138"/>
      <c r="F1" s="138"/>
      <c r="G1" s="138"/>
      <c r="H1" s="138"/>
      <c r="I1" s="138"/>
      <c r="J1" s="138"/>
      <c r="K1" s="138"/>
    </row>
    <row r="3" spans="1:11">
      <c r="A3" s="140" t="str">
        <f>'A MODIFIER'!E5</f>
        <v>*/2025 = Cumul janv 2026-févr 2026 / Cumul janv 2025-févr 2025</v>
      </c>
    </row>
    <row r="4" spans="1:11">
      <c r="A4" s="140" t="str">
        <f>'A MODIFIER'!E6</f>
        <v>*/2024 = Cumul janv 2026-févr 2026 / Cumul janv 2024-févr 2024</v>
      </c>
    </row>
    <row r="7" spans="1:11">
      <c r="A7" s="139" t="s">
        <v>157</v>
      </c>
    </row>
    <row r="8" spans="1:11">
      <c r="A8" s="3" t="s">
        <v>245</v>
      </c>
    </row>
    <row r="10" spans="1:11">
      <c r="A10" s="273"/>
      <c r="B10" s="273"/>
      <c r="C10" s="152" t="str">
        <f>'A MODIFIER'!E12</f>
        <v>*/2025</v>
      </c>
      <c r="D10" s="152" t="str">
        <f>'A MODIFIER'!E11</f>
        <v>*/2024</v>
      </c>
    </row>
    <row r="11" spans="1:11">
      <c r="A11" s="8" t="str" cm="1">
        <f t="array" ref="A11:D49">'CALCULS DERNIERES EVOL INDICES'!J57:M95</f>
        <v>010764224</v>
      </c>
      <c r="B11" s="8" t="str">
        <v>Matériel de distribution et de commande électrique</v>
      </c>
      <c r="C11" s="152">
        <v>0.14835164835164849</v>
      </c>
      <c r="D11" s="152">
        <v>0.13729593972373411</v>
      </c>
    </row>
    <row r="12" spans="1:11">
      <c r="A12" s="8" t="str">
        <v>010764223</v>
      </c>
      <c r="B12" s="8" t="str">
        <v>Moteurs, génératrices, transfo. électr., matér. distrib., cmde électr.</v>
      </c>
      <c r="C12" s="152">
        <v>9.8332620778110114E-2</v>
      </c>
      <c r="D12" s="152">
        <v>9.505541346973545E-2</v>
      </c>
    </row>
    <row r="13" spans="1:11">
      <c r="A13" s="8" t="str">
        <v>010765839</v>
      </c>
      <c r="B13" s="8" t="str">
        <v>Tôles quarto et autres produits plats en aciers non alliés de qualité</v>
      </c>
      <c r="C13" s="152">
        <v>3.6002482929857083E-2</v>
      </c>
      <c r="D13" s="152">
        <v>-5.546123372948486E-2</v>
      </c>
    </row>
    <row r="14" spans="1:11">
      <c r="A14" s="8">
        <v>8682743</v>
      </c>
      <c r="B14" s="8" t="str">
        <v>Travail</v>
      </c>
      <c r="C14" s="152">
        <v>3.2774945375090958E-2</v>
      </c>
      <c r="D14" s="152">
        <v>6.9381598793363697E-2</v>
      </c>
    </row>
    <row r="15" spans="1:11">
      <c r="A15" s="8" t="str">
        <v>010764101</v>
      </c>
      <c r="B15" s="8" t="str">
        <v>Autres textiles</v>
      </c>
      <c r="C15" s="152">
        <v>2.9986962190352129E-2</v>
      </c>
      <c r="D15" s="152">
        <v>5.1930758988016024E-2</v>
      </c>
    </row>
    <row r="16" spans="1:11">
      <c r="A16" s="8" t="str">
        <v> 010764116</v>
      </c>
      <c r="B16" s="8" t="str">
        <v>Ensemble des produits du sciage</v>
      </c>
      <c r="C16" s="152">
        <v>2.6600541027953062E-2</v>
      </c>
      <c r="D16" s="152">
        <v>6.5014031805425532E-2</v>
      </c>
    </row>
    <row r="17" spans="1:4">
      <c r="A17" s="8" t="str">
        <v>001565195</v>
      </c>
      <c r="B17" s="8" t="str">
        <v>Travail activités spécialisées</v>
      </c>
      <c r="C17" s="152">
        <v>2.1892393320964709E-2</v>
      </c>
      <c r="D17" s="152">
        <v>4.8743335872048599E-2</v>
      </c>
    </row>
    <row r="18" spans="1:4">
      <c r="A18" s="8" t="str">
        <v>010764180</v>
      </c>
      <c r="B18" s="8" t="str">
        <v>Béton prêt à l'emploi</v>
      </c>
      <c r="C18" s="152">
        <v>2.1423106350420884E-2</v>
      </c>
      <c r="D18" s="152">
        <v>2.8505392912172578E-2</v>
      </c>
    </row>
    <row r="19" spans="1:4">
      <c r="A19" s="8" t="str">
        <v>010764176</v>
      </c>
      <c r="B19" s="8" t="str">
        <v>Ciment, chaux et plâtre</v>
      </c>
      <c r="C19" s="152">
        <v>1.9741320626276426E-2</v>
      </c>
      <c r="D19" s="152">
        <v>3.345981372887219E-2</v>
      </c>
    </row>
    <row r="20" spans="1:4">
      <c r="A20" s="8" t="str">
        <v>001711943</v>
      </c>
      <c r="B20" s="8" t="str">
        <v>Transports routiers</v>
      </c>
      <c r="C20" s="152">
        <v>1.7813765182186359E-2</v>
      </c>
      <c r="D20" s="152">
        <v>1.3709677419354804E-2</v>
      </c>
    </row>
    <row r="21" spans="1:4">
      <c r="A21" s="8" t="str">
        <v>001711009</v>
      </c>
      <c r="B21" s="8" t="str">
        <v>Matériel</v>
      </c>
      <c r="C21" s="152">
        <v>1.6459253311922994E-2</v>
      </c>
      <c r="D21" s="152">
        <v>2.0556227327690468E-2</v>
      </c>
    </row>
    <row r="22" spans="1:4">
      <c r="A22" s="8" t="str">
        <v>010764301</v>
      </c>
      <c r="B22" s="8" t="str">
        <v>Collecte, traitement et élimination des déchets ; récupération de matériaux</v>
      </c>
      <c r="C22" s="152">
        <v>1.418115279048493E-2</v>
      </c>
      <c r="D22" s="152">
        <v>3.0204460966542834E-2</v>
      </c>
    </row>
    <row r="23" spans="1:4">
      <c r="A23" s="8" t="str">
        <v>010764179</v>
      </c>
      <c r="B23" s="8" t="str">
        <v>Éléments en béton pour la construction</v>
      </c>
      <c r="C23" s="152">
        <v>8.8719898605831293E-3</v>
      </c>
      <c r="D23" s="152">
        <v>-2.6894865525672329E-2</v>
      </c>
    </row>
    <row r="24" spans="1:4">
      <c r="A24" s="8" t="str">
        <v>010765500</v>
      </c>
      <c r="B24" s="8" t="str">
        <v>Sables et granulats</v>
      </c>
      <c r="C24" s="152">
        <v>5.1391862955032508E-3</v>
      </c>
      <c r="D24" s="152">
        <v>-2.9736618521666314E-3</v>
      </c>
    </row>
    <row r="25" spans="1:4">
      <c r="A25" s="8" t="str">
        <v>010763871</v>
      </c>
      <c r="B25" s="8" t="str">
        <v>Produits de voierie en béton</v>
      </c>
      <c r="C25" s="152">
        <v>5.1181102362205522E-3</v>
      </c>
      <c r="D25" s="152">
        <v>5.5139818826310805E-3</v>
      </c>
    </row>
    <row r="26" spans="1:4">
      <c r="A26" s="8" t="str">
        <v>010763881</v>
      </c>
      <c r="B26" s="8" t="str">
        <v>Produits sidérurgiques en acier non allié</v>
      </c>
      <c r="C26" s="152">
        <v>4.8205677557580096E-3</v>
      </c>
      <c r="D26" s="152">
        <v>-4.6263345195729499E-2</v>
      </c>
    </row>
    <row r="27" spans="1:4">
      <c r="A27" s="8" t="str">
        <v>010764195</v>
      </c>
      <c r="B27" s="8" t="str">
        <v>Travaux de fonderie de fonte</v>
      </c>
      <c r="C27" s="152">
        <v>3.1262211801486028E-3</v>
      </c>
      <c r="D27" s="152">
        <v>-2.3319082782742306E-3</v>
      </c>
    </row>
    <row r="28" spans="1:4">
      <c r="A28" s="8" t="str">
        <v>010764306</v>
      </c>
      <c r="B28" s="8" t="str">
        <v>Traitement et élimination des déchets non dangereux</v>
      </c>
      <c r="C28" s="152">
        <v>2.5380710659899108E-3</v>
      </c>
      <c r="D28" s="152">
        <v>2.5530073561228717E-2</v>
      </c>
    </row>
    <row r="29" spans="1:4">
      <c r="A29" s="8" t="str">
        <v>001711011</v>
      </c>
      <c r="B29" s="8" t="str">
        <v>Frais divers</v>
      </c>
      <c r="C29" s="152">
        <v>1.6891891891890332E-3</v>
      </c>
      <c r="D29" s="152">
        <v>1.1082693947144007E-2</v>
      </c>
    </row>
    <row r="30" spans="1:4">
      <c r="A30" s="8" t="str">
        <v>010763930</v>
      </c>
      <c r="B30" s="8" t="str">
        <v>Fils et câbles d'énergie</v>
      </c>
      <c r="C30" s="152">
        <v>1.5961691939345712E-3</v>
      </c>
      <c r="D30" s="152">
        <v>6.8539804171988239E-2</v>
      </c>
    </row>
    <row r="31" spans="1:4">
      <c r="A31" s="8" t="str">
        <v>010766292</v>
      </c>
      <c r="B31" s="8" t="str">
        <v>Réseaux d’assainissement</v>
      </c>
      <c r="C31" s="152">
        <v>3.910833007432224E-4</v>
      </c>
      <c r="D31" s="152">
        <v>3.1372549019608176E-3</v>
      </c>
    </row>
    <row r="32" spans="1:4">
      <c r="A32" s="8" t="str">
        <v>010764228</v>
      </c>
      <c r="B32" s="8" t="str">
        <v>Appareils d'éclairage électrique</v>
      </c>
      <c r="C32" s="152">
        <v>-6.5696855936180354E-3</v>
      </c>
      <c r="D32" s="152">
        <v>-1.5806601580660273E-2</v>
      </c>
    </row>
    <row r="33" spans="1:4">
      <c r="A33" s="8" t="str">
        <v>010763845</v>
      </c>
      <c r="B33" s="8" t="str">
        <v>Tubes, tuyaux en matière plastique</v>
      </c>
      <c r="C33" s="152">
        <v>-1.0329562223315381E-2</v>
      </c>
      <c r="D33" s="152">
        <v>-7.5792374827744591E-2</v>
      </c>
    </row>
    <row r="34" spans="1:4">
      <c r="A34" s="8" t="str">
        <v>010764181</v>
      </c>
      <c r="B34" s="8" t="str">
        <v>Mortiers et bétons secs</v>
      </c>
      <c r="C34" s="152">
        <v>-1.0789814415192112E-2</v>
      </c>
      <c r="D34" s="152">
        <v>-1.1216566005176953E-2</v>
      </c>
    </row>
    <row r="35" spans="1:4">
      <c r="A35" s="8" t="str">
        <v>010764172</v>
      </c>
      <c r="B35" s="8" t="str">
        <v>Tuiles, briques et produits de construction en terre cuite</v>
      </c>
      <c r="C35" s="152">
        <v>-1.145311381531855E-2</v>
      </c>
      <c r="D35" s="152">
        <v>-2.888086642599319E-3</v>
      </c>
    </row>
    <row r="36" spans="1:4">
      <c r="A36" s="8" t="str">
        <v>010764187</v>
      </c>
      <c r="B36" s="8" t="str">
        <v>Tubes, tuyaux, profilés creux et accessoires correspondants en acier</v>
      </c>
      <c r="C36" s="152">
        <v>-1.2315270935960521E-2</v>
      </c>
      <c r="D36" s="152">
        <v>-4.7505938242280221E-2</v>
      </c>
    </row>
    <row r="37" spans="1:4">
      <c r="A37" s="8" t="str">
        <v>010766236</v>
      </c>
      <c r="B37" s="8" t="str">
        <v>Barres crénelées ou nervurées pour béton armé</v>
      </c>
      <c r="C37" s="152">
        <v>-1.2658227848101333E-2</v>
      </c>
      <c r="D37" s="152">
        <v>-5.4545454545454564E-2</v>
      </c>
    </row>
    <row r="38" spans="1:4">
      <c r="A38" s="8" t="str">
        <v>010765837</v>
      </c>
      <c r="B38" s="8" t="str">
        <v>Acier pour la construction</v>
      </c>
      <c r="C38" s="152">
        <v>-1.2672176308540006E-2</v>
      </c>
      <c r="D38" s="152">
        <v>-4.9840933191940828E-2</v>
      </c>
    </row>
    <row r="39" spans="1:4">
      <c r="A39" s="8" t="str">
        <v>010777519</v>
      </c>
      <c r="B39" s="8" t="str">
        <v>GNR pour les Travaux Publics</v>
      </c>
      <c r="C39" s="152">
        <v>-1.7268947873361196E-2</v>
      </c>
      <c r="D39" s="152">
        <v>2.7072192513368787E-2</v>
      </c>
    </row>
    <row r="40" spans="1:4">
      <c r="A40" s="8" t="str">
        <v>001764283</v>
      </c>
      <c r="B40" s="8" t="str">
        <v>Gazole</v>
      </c>
      <c r="C40" s="152">
        <v>-2.3978982565082463E-2</v>
      </c>
      <c r="D40" s="152">
        <v>-6.3780068728522377E-2</v>
      </c>
    </row>
    <row r="41" spans="1:4">
      <c r="A41" s="8" t="str">
        <v>010763825</v>
      </c>
      <c r="B41" s="8" t="str">
        <v>Peintures Industries</v>
      </c>
      <c r="C41" s="152">
        <v>-2.8910303928836201E-2</v>
      </c>
      <c r="D41" s="152">
        <v>-5.6535830032409029E-2</v>
      </c>
    </row>
    <row r="42" spans="1:4">
      <c r="A42" s="8" t="str">
        <v>010764160</v>
      </c>
      <c r="B42" s="8" t="str">
        <v>Plaques, feuilles, tubes et profilés en matières plastiques</v>
      </c>
      <c r="C42" s="152">
        <v>-2.9864675688287434E-2</v>
      </c>
      <c r="D42" s="152">
        <v>-2.9864675688287434E-2</v>
      </c>
    </row>
    <row r="43" spans="1:4">
      <c r="A43" s="8" t="str">
        <v>Gazole routier HTT</v>
      </c>
      <c r="B43" s="8" t="str">
        <v>Gazole routier HTT</v>
      </c>
      <c r="C43" s="152">
        <v>-4.2378998190626294E-2</v>
      </c>
      <c r="D43" s="152">
        <v>-0.11250648078806358</v>
      </c>
    </row>
    <row r="44" spans="1:4">
      <c r="A44" s="8" t="str">
        <v>010764149</v>
      </c>
      <c r="B44" s="8" t="str">
        <v>Autres produits chimiques</v>
      </c>
      <c r="C44" s="152">
        <v>-4.8284625158831029E-2</v>
      </c>
      <c r="D44" s="152">
        <v>3.1680440771349794E-2</v>
      </c>
    </row>
    <row r="45" spans="1:4">
      <c r="A45" s="8" t="str">
        <v>010764834</v>
      </c>
      <c r="B45" s="8" t="str">
        <v>Câbles de fibres optiques</v>
      </c>
      <c r="C45" s="152">
        <v>-5.4888507718696355E-2</v>
      </c>
      <c r="D45" s="152">
        <v>-0.17597208374875373</v>
      </c>
    </row>
    <row r="46" spans="1:4">
      <c r="A46" s="8" t="str">
        <v>010764143</v>
      </c>
      <c r="B46" s="8" t="str">
        <v>Matières plastiques sous formes primaires</v>
      </c>
      <c r="C46" s="152">
        <v>-0.10911016949152552</v>
      </c>
      <c r="D46" s="152">
        <v>-9.4725511302475862E-2</v>
      </c>
    </row>
    <row r="47" spans="1:4">
      <c r="A47" s="8" t="str">
        <v>010764291</v>
      </c>
      <c r="B47" s="8" t="str">
        <v>Électricité vendue aux entreprises consommatrices finales</v>
      </c>
      <c r="C47" s="152">
        <v>-0.12597741094700277</v>
      </c>
      <c r="D47" s="152">
        <v>-0.24981357196122311</v>
      </c>
    </row>
    <row r="48" spans="1:4">
      <c r="A48" s="8" t="str">
        <v>010764136</v>
      </c>
      <c r="B48" s="8" t="str">
        <v>Bitume</v>
      </c>
      <c r="C48" s="152">
        <v>-0.22037914691943117</v>
      </c>
      <c r="D48" s="152">
        <v>-0.12188612099644125</v>
      </c>
    </row>
    <row r="49" spans="1:4">
      <c r="A49" s="8" t="str">
        <v>010764297</v>
      </c>
      <c r="B49" s="8" t="str">
        <v>Gaz naturel</v>
      </c>
      <c r="C49" s="152">
        <v>-0.33551769331585823</v>
      </c>
      <c r="D49" s="152">
        <v>5.9523809523811533E-3</v>
      </c>
    </row>
    <row r="56" spans="1:4">
      <c r="A56" s="274" t="str">
        <f>"CLASSEMENT DES INDICES SELON LEUR ÉVOLUTION A FIN "&amp;'A MODIFIER'!F4&amp;" EN CUMUL DEPUIS "&amp;UPPER(TEXT(DATE4,"mmmmmmmm"))&amp;" PAR RAPPORT À "&amp;TEXT(EDATE(DATE4,-12),"aaaa")&amp;" ET "&amp;TEXT(EDATE(DATE4,-24),"aaaa")</f>
        <v>CLASSEMENT DES INDICES SELON LEUR ÉVOLUTION A FIN FÉVRIER 2026 EN CUMUL DEPUIS FÉVRIER PAR RAPPORT À 2025 ET 2024</v>
      </c>
      <c r="B56" s="274"/>
      <c r="C56" s="274"/>
      <c r="D56" s="274"/>
    </row>
    <row r="58" spans="1:4">
      <c r="A58" s="45" t="str">
        <f>'A MODIFIER'!E9</f>
        <v>*12 mois =  Cumul mars 2025-févr 2026 / Cumul mars 2024-févr 2025</v>
      </c>
    </row>
    <row r="59" spans="1:4">
      <c r="A59" s="45" t="str">
        <f>'A MODIFIER'!E10</f>
        <v>*24 mois =  Cumul mars 2025-févr 2026 / Cumul mars 2023-févr 2024</v>
      </c>
    </row>
    <row r="61" spans="1:4">
      <c r="A61" s="273"/>
      <c r="B61" s="273"/>
      <c r="C61" s="153" t="str">
        <f>'A MODIFIER'!E13</f>
        <v xml:space="preserve">*12 mois </v>
      </c>
      <c r="D61" s="152" t="str">
        <f>'A MODIFIER'!E14</f>
        <v>*24 mois</v>
      </c>
    </row>
    <row r="62" spans="1:4">
      <c r="A62" s="8" t="str" cm="1">
        <f t="array" ref="A62:D100">'CALCULS DERNIERES EVOL INDICES'!J8:M46</f>
        <v>010764224</v>
      </c>
      <c r="B62" s="8" t="str">
        <v>Matériel de distribution et de commande électrique</v>
      </c>
      <c r="C62" s="152">
        <v>4.423490258614704E-2</v>
      </c>
      <c r="D62" s="152">
        <v>6.6079020015239687E-2</v>
      </c>
    </row>
    <row r="63" spans="1:4">
      <c r="A63" s="8" t="str">
        <v>010764223</v>
      </c>
      <c r="B63" s="8" t="str">
        <v>Moteurs, génératrices, transfo. électr., matér. distrib., cmde électr.</v>
      </c>
      <c r="C63" s="152">
        <v>3.763669933248126E-2</v>
      </c>
      <c r="D63" s="152">
        <v>4.6347769945092265E-2</v>
      </c>
    </row>
    <row r="64" spans="1:4">
      <c r="A64" s="8" t="str">
        <v> 010764116</v>
      </c>
      <c r="B64" s="8" t="str">
        <v>Ensemble des produits du sciage</v>
      </c>
      <c r="C64" s="152">
        <v>3.6686028737388909E-2</v>
      </c>
      <c r="D64" s="152">
        <v>1.8471241928217141E-2</v>
      </c>
    </row>
    <row r="65" spans="1:4">
      <c r="A65" s="8">
        <v>8899388</v>
      </c>
      <c r="B65" s="8" t="str">
        <v>Travail</v>
      </c>
      <c r="C65" s="152">
        <v>3.3386719231242701E-2</v>
      </c>
      <c r="D65" s="152">
        <v>6.2444585180494006E-2</v>
      </c>
    </row>
    <row r="66" spans="1:4">
      <c r="A66" s="8" t="str">
        <v>010777519</v>
      </c>
      <c r="B66" s="8" t="str">
        <v>GNR pour les Travaux Publics</v>
      </c>
      <c r="C66" s="152">
        <v>3.054065208419332E-2</v>
      </c>
      <c r="D66" s="152">
        <v>5.5112881806108627E-2</v>
      </c>
    </row>
    <row r="67" spans="1:4">
      <c r="A67" s="8" t="str">
        <v>010764101</v>
      </c>
      <c r="B67" s="8" t="str">
        <v>Autres textiles</v>
      </c>
      <c r="C67" s="152">
        <v>2.4122807017543879E-2</v>
      </c>
      <c r="D67" s="152">
        <v>3.4115461474120368E-2</v>
      </c>
    </row>
    <row r="68" spans="1:4">
      <c r="A68" s="8" t="str">
        <v>001565195</v>
      </c>
      <c r="B68" s="8" t="str">
        <v>Travail activités spécialisées</v>
      </c>
      <c r="C68" s="152">
        <v>2.34375E-2</v>
      </c>
      <c r="D68" s="152">
        <v>5.0352790250160151E-2</v>
      </c>
    </row>
    <row r="69" spans="1:4">
      <c r="A69" s="8" t="str">
        <v>010764180</v>
      </c>
      <c r="B69" s="8" t="str">
        <v>Béton prêt à l'emploi</v>
      </c>
      <c r="C69" s="152">
        <v>2.1189999353963263E-2</v>
      </c>
      <c r="D69" s="152">
        <v>2.717145703417545E-2</v>
      </c>
    </row>
    <row r="70" spans="1:4">
      <c r="A70" s="8" t="str">
        <v>010764306</v>
      </c>
      <c r="B70" s="8" t="str">
        <v>Traitement et élimination des déchets non dangereux</v>
      </c>
      <c r="C70" s="152">
        <v>2.1079136690647537E-2</v>
      </c>
      <c r="D70" s="152">
        <v>5.6113356749632581E-2</v>
      </c>
    </row>
    <row r="71" spans="1:4">
      <c r="A71" s="8" t="str">
        <v>010763930</v>
      </c>
      <c r="B71" s="8" t="str">
        <v>Fils et câbles d'énergie</v>
      </c>
      <c r="C71" s="152">
        <v>1.3670173557595477E-2</v>
      </c>
      <c r="D71" s="152">
        <v>7.0585483201217825E-2</v>
      </c>
    </row>
    <row r="72" spans="1:4">
      <c r="A72" s="8" t="str">
        <v>010763871</v>
      </c>
      <c r="B72" s="8" t="str">
        <v>Produits de voierie en béton</v>
      </c>
      <c r="C72" s="152">
        <v>1.3508247824392638E-2</v>
      </c>
      <c r="D72" s="152">
        <v>6.3398990898735352E-3</v>
      </c>
    </row>
    <row r="73" spans="1:4">
      <c r="A73" s="8" t="str">
        <v>010764176</v>
      </c>
      <c r="B73" s="8" t="str">
        <v>Ciment, chaux et plâtre</v>
      </c>
      <c r="C73" s="152">
        <v>1.2791441362870026E-2</v>
      </c>
      <c r="D73" s="152">
        <v>2.0978667740955359E-2</v>
      </c>
    </row>
    <row r="74" spans="1:4">
      <c r="A74" s="8" t="str">
        <v>010764149</v>
      </c>
      <c r="B74" s="8" t="str">
        <v>Autres produits chimiques</v>
      </c>
      <c r="C74" s="152">
        <v>1.205370765944469E-2</v>
      </c>
      <c r="D74" s="152">
        <v>-4.9328447954951837E-2</v>
      </c>
    </row>
    <row r="75" spans="1:4">
      <c r="A75" s="8" t="str">
        <v>001711943</v>
      </c>
      <c r="B75" s="8" t="str">
        <v>Transports routiers</v>
      </c>
      <c r="C75" s="152">
        <v>1.1708498755130803E-2</v>
      </c>
      <c r="D75" s="152">
        <v>4.2143203715256261E-2</v>
      </c>
    </row>
    <row r="76" spans="1:4">
      <c r="A76" s="8" t="str">
        <v>001711009</v>
      </c>
      <c r="B76" s="8" t="str">
        <v>Matériel</v>
      </c>
      <c r="C76" s="152">
        <v>1.1008072586563555E-2</v>
      </c>
      <c r="D76" s="152">
        <v>2.7877636844604092E-2</v>
      </c>
    </row>
    <row r="77" spans="1:4">
      <c r="A77" s="8" t="str">
        <v>010764195</v>
      </c>
      <c r="B77" s="8" t="str">
        <v>Travaux de fonderie de fonte</v>
      </c>
      <c r="C77" s="152">
        <v>1.0322749248660834E-2</v>
      </c>
      <c r="D77" s="152">
        <v>-1.4115016836271588E-2</v>
      </c>
    </row>
    <row r="78" spans="1:4">
      <c r="A78" s="8" t="str">
        <v>010765500</v>
      </c>
      <c r="B78" s="8" t="str">
        <v>Sables et granulats</v>
      </c>
      <c r="C78" s="152">
        <v>6.56328885683366E-3</v>
      </c>
      <c r="D78" s="152">
        <v>5.4298108504939879E-3</v>
      </c>
    </row>
    <row r="79" spans="1:4">
      <c r="A79" s="8" t="str">
        <v>001711011</v>
      </c>
      <c r="B79" s="8" t="str">
        <v>Frais divers</v>
      </c>
      <c r="C79" s="152">
        <v>4.7070394829282769E-3</v>
      </c>
      <c r="D79" s="152">
        <v>1.2531860662701844E-2</v>
      </c>
    </row>
    <row r="80" spans="1:4">
      <c r="A80" s="8" t="str">
        <v>010764172</v>
      </c>
      <c r="B80" s="8" t="str">
        <v>Tuiles, briques et produits de construction en terre cuite</v>
      </c>
      <c r="C80" s="152">
        <v>3.6643239022045027E-3</v>
      </c>
      <c r="D80" s="152">
        <v>2.6671670991949004E-3</v>
      </c>
    </row>
    <row r="81" spans="1:4">
      <c r="A81" s="8" t="str">
        <v>010764228</v>
      </c>
      <c r="B81" s="8" t="str">
        <v>Appareils d'éclairage électrique</v>
      </c>
      <c r="C81" s="152">
        <v>2.3446658851113966E-3</v>
      </c>
      <c r="D81" s="152">
        <v>-1.8369465452405698E-2</v>
      </c>
    </row>
    <row r="82" spans="1:4">
      <c r="A82" s="8" t="str">
        <v>010766292</v>
      </c>
      <c r="B82" s="8" t="str">
        <v>Réseaux d’assainissement</v>
      </c>
      <c r="C82" s="152">
        <v>1.9455252918310073E-4</v>
      </c>
      <c r="D82" s="152">
        <v>2.1165392142347805E-2</v>
      </c>
    </row>
    <row r="83" spans="1:4">
      <c r="A83" s="8" t="str">
        <v>010766236</v>
      </c>
      <c r="B83" s="8" t="str">
        <v>Barres crénelées ou nervurées pour béton armé</v>
      </c>
      <c r="C83" s="152">
        <v>-4.5514887161008932E-3</v>
      </c>
      <c r="D83" s="152">
        <v>-4.9316426946863334E-2</v>
      </c>
    </row>
    <row r="84" spans="1:4">
      <c r="A84" s="8" t="str">
        <v>010765837</v>
      </c>
      <c r="B84" s="8" t="str">
        <v>Acier pour la construction</v>
      </c>
      <c r="C84" s="152">
        <v>-5.5399146308238167E-3</v>
      </c>
      <c r="D84" s="152">
        <v>-6.7468099995741437E-2</v>
      </c>
    </row>
    <row r="85" spans="1:4">
      <c r="A85" s="8" t="str">
        <v>010764181</v>
      </c>
      <c r="B85" s="8" t="str">
        <v>Mortiers et bétons secs</v>
      </c>
      <c r="C85" s="152">
        <v>-1.0471582292193471E-2</v>
      </c>
      <c r="D85" s="152">
        <v>-5.0635520083891494E-3</v>
      </c>
    </row>
    <row r="86" spans="1:4">
      <c r="A86" s="8" t="str">
        <v>010764179</v>
      </c>
      <c r="B86" s="8" t="str">
        <v>Éléments en béton pour la construction</v>
      </c>
      <c r="C86" s="152">
        <v>-1.0691474590391326E-2</v>
      </c>
      <c r="D86" s="152">
        <v>-4.4885745898487039E-2</v>
      </c>
    </row>
    <row r="87" spans="1:4">
      <c r="A87" s="8" t="str">
        <v>010763825</v>
      </c>
      <c r="B87" s="8" t="str">
        <v>Peintures Industries</v>
      </c>
      <c r="C87" s="152">
        <v>-1.1883614088820993E-2</v>
      </c>
      <c r="D87" s="152">
        <v>-3.4817680037668275E-2</v>
      </c>
    </row>
    <row r="88" spans="1:4">
      <c r="A88" s="8" t="str">
        <v>010764301</v>
      </c>
      <c r="B88" s="8" t="str">
        <v>Collecte, traitement et élimination des déchets ; récupération de matériaux</v>
      </c>
      <c r="C88" s="152">
        <v>-1.215828424709231E-2</v>
      </c>
      <c r="D88" s="152">
        <v>2.3345978709923942E-2</v>
      </c>
    </row>
    <row r="89" spans="1:4">
      <c r="A89" s="8" t="str">
        <v>010764160</v>
      </c>
      <c r="B89" s="8" t="str">
        <v>Plaques, feuilles, tubes et profilés en matières plastiques</v>
      </c>
      <c r="C89" s="152">
        <v>-1.3317847464188626E-2</v>
      </c>
      <c r="D89" s="152">
        <v>-4.8217743950795255E-2</v>
      </c>
    </row>
    <row r="90" spans="1:4">
      <c r="A90" s="8" t="str">
        <v>010764187</v>
      </c>
      <c r="B90" s="8" t="str">
        <v>Tubes, tuyaux, profilés creux et accessoires correspondants en acier</v>
      </c>
      <c r="C90" s="152">
        <v>-2.0370994940978271E-2</v>
      </c>
      <c r="D90" s="152">
        <v>-7.04263444058707E-2</v>
      </c>
    </row>
    <row r="91" spans="1:4">
      <c r="A91" s="8" t="str">
        <v>010763845</v>
      </c>
      <c r="B91" s="8" t="str">
        <v>Tubes, tuyaux en matière plastique</v>
      </c>
      <c r="C91" s="152">
        <v>-2.1667337897704475E-2</v>
      </c>
      <c r="D91" s="152">
        <v>-0.10704148576265216</v>
      </c>
    </row>
    <row r="92" spans="1:4">
      <c r="A92" s="8" t="str">
        <v>010763881</v>
      </c>
      <c r="B92" s="8" t="str">
        <v>Produits sidérurgiques en acier non allié</v>
      </c>
      <c r="C92" s="152">
        <v>-2.3593149248514744E-2</v>
      </c>
      <c r="D92" s="152">
        <v>-9.7687225602870464E-2</v>
      </c>
    </row>
    <row r="93" spans="1:4">
      <c r="A93" s="8" t="str">
        <v>011816634</v>
      </c>
      <c r="B93" s="8" t="str">
        <v>Gazole</v>
      </c>
      <c r="C93" s="152">
        <v>-4.0631673597841922E-2</v>
      </c>
      <c r="D93" s="152">
        <v>-9.5897769572980684E-2</v>
      </c>
    </row>
    <row r="94" spans="1:4">
      <c r="A94" s="8" t="str">
        <v>010765839</v>
      </c>
      <c r="B94" s="8" t="str">
        <v>Tôles quarto et autres produits plats en aciers non alliés de qualité</v>
      </c>
      <c r="C94" s="152">
        <v>-4.6443555468825948E-2</v>
      </c>
      <c r="D94" s="152">
        <v>-0.11382678466339347</v>
      </c>
    </row>
    <row r="95" spans="1:4">
      <c r="A95" s="8" t="str">
        <v>010764143</v>
      </c>
      <c r="B95" s="8" t="str">
        <v>Matières plastiques sous formes primaires</v>
      </c>
      <c r="C95" s="152">
        <v>-6.1271067415730074E-2</v>
      </c>
      <c r="D95" s="152">
        <v>-6.837413616047372E-2</v>
      </c>
    </row>
    <row r="96" spans="1:4">
      <c r="A96" s="8" t="str">
        <v>010764297</v>
      </c>
      <c r="B96" s="8" t="str">
        <v>Gaz naturel</v>
      </c>
      <c r="C96" s="152">
        <v>-6.2920089619118658E-2</v>
      </c>
      <c r="D96" s="152">
        <v>-7.5689452659559731E-2</v>
      </c>
    </row>
    <row r="97" spans="1:4">
      <c r="A97" s="8" t="str">
        <v>Gazole routier HTT</v>
      </c>
      <c r="B97" s="8" t="str">
        <v>Gazole routier HTT</v>
      </c>
      <c r="C97" s="152">
        <v>-7.3506937898684788E-2</v>
      </c>
      <c r="D97" s="152">
        <v>-0.15843118508251097</v>
      </c>
    </row>
    <row r="98" spans="1:4">
      <c r="A98" s="8" t="str">
        <v>010764136</v>
      </c>
      <c r="B98" s="8" t="str">
        <v>Bitume</v>
      </c>
      <c r="C98" s="152">
        <v>-0.11333730080010584</v>
      </c>
      <c r="D98" s="152">
        <v>-8.8568585480615414E-2</v>
      </c>
    </row>
    <row r="99" spans="1:4">
      <c r="A99" s="8" t="str">
        <v>010764834</v>
      </c>
      <c r="B99" s="8" t="str">
        <v>Câbles de fibres optiques</v>
      </c>
      <c r="C99" s="152">
        <v>-0.11538120959886655</v>
      </c>
      <c r="D99" s="152">
        <v>-0.18336847979491511</v>
      </c>
    </row>
    <row r="100" spans="1:4">
      <c r="A100" s="8" t="str">
        <v>010764291</v>
      </c>
      <c r="B100" s="8" t="str">
        <v>Électricité vendue aux entreprises consommatrices finales</v>
      </c>
      <c r="C100" s="152">
        <v>-0.1544076043906305</v>
      </c>
      <c r="D100" s="152">
        <v>-0.35953140967218011</v>
      </c>
    </row>
    <row r="106" spans="1:4">
      <c r="A106" s="274" t="s">
        <v>159</v>
      </c>
      <c r="B106" s="275"/>
      <c r="C106" s="275"/>
      <c r="D106" s="275"/>
    </row>
    <row r="108" spans="1:4">
      <c r="A108" s="45" t="str">
        <f>'A MODIFIER'!E7</f>
        <v>*3 mois = Cumul déc 2025-févr 2026 / Cumul sept 2025-nov 2025</v>
      </c>
    </row>
    <row r="109" spans="1:4">
      <c r="A109" s="45" t="str">
        <f>'A MODIFIER'!E8</f>
        <v>*6 mois = Cumul sept 2025-févr 2026 / Cumul mars 2025-août 2025</v>
      </c>
    </row>
    <row r="111" spans="1:4">
      <c r="A111" s="273"/>
      <c r="B111" s="273"/>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0.31659324522760635</v>
      </c>
      <c r="D112" s="152">
        <v>0.11775542015020557</v>
      </c>
    </row>
    <row r="113" spans="1:4">
      <c r="A113" s="167" t="str">
        <v>010764224</v>
      </c>
      <c r="B113" s="167" t="str">
        <v>Matériel de distribution et de commande électrique</v>
      </c>
      <c r="C113" s="152">
        <v>5.3840063341251021E-2</v>
      </c>
      <c r="D113" s="152">
        <v>6.9102898749828334E-2</v>
      </c>
    </row>
    <row r="114" spans="1:4">
      <c r="A114" s="167" t="str">
        <v>010765839</v>
      </c>
      <c r="B114" s="167" t="str">
        <v>Tôles quarto et autres produits plats en aciers non alliés de qualité</v>
      </c>
      <c r="C114" s="152">
        <v>4.1141897565071472E-2</v>
      </c>
      <c r="D114" s="152">
        <v>-9.9776013031971367E-3</v>
      </c>
    </row>
    <row r="115" spans="1:4">
      <c r="A115" s="167" t="str">
        <v>010764223</v>
      </c>
      <c r="B115" s="167" t="str">
        <v>Moteurs, génératrices, transfo. électr., matér. distrib., cmde électr.</v>
      </c>
      <c r="C115" s="152">
        <v>3.6814835014998826E-2</v>
      </c>
      <c r="D115" s="152">
        <v>4.5639087218255714E-2</v>
      </c>
    </row>
    <row r="116" spans="1:4">
      <c r="A116" s="167" t="str">
        <v>010764149</v>
      </c>
      <c r="B116" s="167" t="str">
        <v>Autres produits chimiques</v>
      </c>
      <c r="C116" s="152">
        <v>3.1799938252547122E-2</v>
      </c>
      <c r="D116" s="152">
        <v>-1.5557217651458677E-2</v>
      </c>
    </row>
    <row r="117" spans="1:4">
      <c r="A117" s="167" t="str">
        <v>010764176</v>
      </c>
      <c r="B117" s="167" t="str">
        <v>Ciment, chaux et plâtre</v>
      </c>
      <c r="C117" s="152">
        <v>2.9247910863509974E-2</v>
      </c>
      <c r="D117" s="152">
        <v>7.4910683415925217E-3</v>
      </c>
    </row>
    <row r="118" spans="1:4">
      <c r="A118" s="167" t="str">
        <v>010764301</v>
      </c>
      <c r="B118" s="167" t="str">
        <v>Collecte, traitement et élimination des déchets ; récupération de matériaux</v>
      </c>
      <c r="C118" s="152">
        <v>2.6463262764632844E-2</v>
      </c>
      <c r="D118" s="152">
        <v>-9.5861229458309438E-3</v>
      </c>
    </row>
    <row r="119" spans="1:4">
      <c r="A119" s="167" t="str">
        <v>010777519</v>
      </c>
      <c r="B119" s="167" t="str">
        <v>GNR pour les Travaux Publics</v>
      </c>
      <c r="C119" s="152">
        <v>2.3967130792056368E-2</v>
      </c>
      <c r="D119" s="152">
        <v>2.9609846725499267E-2</v>
      </c>
    </row>
    <row r="120" spans="1:4">
      <c r="A120" s="167" t="str">
        <v>010763881</v>
      </c>
      <c r="B120" s="167" t="str">
        <v>Produits sidérurgiques en acier non allié</v>
      </c>
      <c r="C120" s="152">
        <v>1.8633540372670732E-2</v>
      </c>
      <c r="D120" s="152">
        <v>-2.1950787750044221E-2</v>
      </c>
    </row>
    <row r="121" spans="1:4">
      <c r="A121" s="167" t="str">
        <v>010764101</v>
      </c>
      <c r="B121" s="167" t="str">
        <v>Autres textiles</v>
      </c>
      <c r="C121" s="152">
        <v>1.1139674378748854E-2</v>
      </c>
      <c r="D121" s="152">
        <v>1.0331467929401761E-2</v>
      </c>
    </row>
    <row r="122" spans="1:4">
      <c r="A122" s="167" t="str">
        <v>010765500</v>
      </c>
      <c r="B122" s="167" t="str">
        <v>Sables et granulats</v>
      </c>
      <c r="C122" s="152">
        <v>1.0353753235547769E-2</v>
      </c>
      <c r="D122" s="152">
        <v>3.445305770887197E-3</v>
      </c>
    </row>
    <row r="123" spans="1:4">
      <c r="A123" s="167">
        <v>8682743</v>
      </c>
      <c r="B123" s="167" t="str">
        <v>Travail</v>
      </c>
      <c r="C123" s="152">
        <v>9.9715099715098621E-3</v>
      </c>
      <c r="D123" s="152">
        <v>1.877256317689513E-2</v>
      </c>
    </row>
    <row r="124" spans="1:4">
      <c r="A124" s="167" t="str">
        <v>010764180</v>
      </c>
      <c r="B124" s="167" t="str">
        <v>Béton prêt à l'emploi</v>
      </c>
      <c r="C124" s="152">
        <v>8.8697415103902166E-3</v>
      </c>
      <c r="D124" s="152">
        <v>5.9644670050762461E-3</v>
      </c>
    </row>
    <row r="125" spans="1:4">
      <c r="A125" s="167" t="str">
        <v>010764179</v>
      </c>
      <c r="B125" s="167" t="str">
        <v>Éléments en béton pour la construction</v>
      </c>
      <c r="C125" s="152">
        <v>8.7694483734088724E-3</v>
      </c>
      <c r="D125" s="152">
        <v>-6.7142257658413529E-3</v>
      </c>
    </row>
    <row r="126" spans="1:4">
      <c r="A126" s="167" t="str">
        <v>010763930</v>
      </c>
      <c r="B126" s="167" t="str">
        <v>Fils et câbles d'énergie</v>
      </c>
      <c r="C126" s="152">
        <v>8.0321285140563248E-3</v>
      </c>
      <c r="D126" s="152">
        <v>-1.6651370132424348E-2</v>
      </c>
    </row>
    <row r="127" spans="1:4">
      <c r="A127" s="167" t="str">
        <v>001764283</v>
      </c>
      <c r="B127" s="167" t="str">
        <v>Gazole</v>
      </c>
      <c r="C127" s="152">
        <v>6.8515931617108006E-3</v>
      </c>
      <c r="D127" s="152">
        <v>1.9929342957115459E-2</v>
      </c>
    </row>
    <row r="128" spans="1:4">
      <c r="A128" s="167" t="str">
        <v>010766292</v>
      </c>
      <c r="B128" s="167" t="str">
        <v>Réseaux d’assainissement</v>
      </c>
      <c r="C128" s="152">
        <v>6.030414263240802E-3</v>
      </c>
      <c r="D128" s="152">
        <v>-1.556870818322198E-2</v>
      </c>
    </row>
    <row r="129" spans="1:4">
      <c r="A129" s="167" t="str">
        <v>001565195</v>
      </c>
      <c r="B129" s="167" t="str">
        <v>Travail activités spécialisées</v>
      </c>
      <c r="C129" s="152">
        <v>5.8479532163744352E-3</v>
      </c>
      <c r="D129" s="152">
        <v>1.09296328134596E-2</v>
      </c>
    </row>
    <row r="130" spans="1:4">
      <c r="A130" s="167" t="str">
        <v>Gazole routier HTT</v>
      </c>
      <c r="B130" s="167" t="str">
        <v>Gazole routier HTT</v>
      </c>
      <c r="C130" s="152">
        <v>3.9284881664805038E-3</v>
      </c>
      <c r="D130" s="152">
        <v>3.7911447581447044E-2</v>
      </c>
    </row>
    <row r="131" spans="1:4">
      <c r="A131" s="167" t="str">
        <v>001711011</v>
      </c>
      <c r="B131" s="167" t="str">
        <v>Frais divers</v>
      </c>
      <c r="C131" s="152">
        <v>3.0916245081504812E-3</v>
      </c>
      <c r="D131" s="152">
        <v>-6.5514357401728063E-3</v>
      </c>
    </row>
    <row r="132" spans="1:4">
      <c r="A132" s="167" t="str">
        <v> 010764116</v>
      </c>
      <c r="B132" s="167" t="str">
        <v>Ensemble des produits du sciage</v>
      </c>
      <c r="C132" s="152">
        <v>2.936857562408246E-3</v>
      </c>
      <c r="D132" s="152">
        <v>1.1269276393831573E-2</v>
      </c>
    </row>
    <row r="133" spans="1:4">
      <c r="A133" s="167" t="str">
        <v>001711943</v>
      </c>
      <c r="B133" s="167" t="str">
        <v>Transports routiers</v>
      </c>
      <c r="C133" s="152">
        <v>1.8612071257644303E-3</v>
      </c>
      <c r="D133" s="152">
        <v>3.0642152944313494E-3</v>
      </c>
    </row>
    <row r="134" spans="1:4">
      <c r="A134" s="167" t="str">
        <v>010764306</v>
      </c>
      <c r="B134" s="167" t="str">
        <v>Traitement et élimination des déchets non dangereux</v>
      </c>
      <c r="C134" s="152">
        <v>8.4674005080453973E-4</v>
      </c>
      <c r="D134" s="152">
        <v>-2.1114864864865135E-3</v>
      </c>
    </row>
    <row r="135" spans="1:4">
      <c r="A135" s="167" t="str">
        <v>010764834</v>
      </c>
      <c r="B135" s="167" t="str">
        <v>Câbles de fibres optiques</v>
      </c>
      <c r="C135" s="152">
        <v>8.0677692617991958E-4</v>
      </c>
      <c r="D135" s="152">
        <v>-1.3916500994035741E-2</v>
      </c>
    </row>
    <row r="136" spans="1:4">
      <c r="A136" s="167" t="str">
        <v>010764195</v>
      </c>
      <c r="B136" s="167" t="str">
        <v>Travaux de fonderie de fonte</v>
      </c>
      <c r="C136" s="152">
        <v>-2.6021337496751062E-4</v>
      </c>
      <c r="D136" s="152">
        <v>-1.2083815400437015E-2</v>
      </c>
    </row>
    <row r="137" spans="1:4">
      <c r="A137" s="167" t="str">
        <v>001711009</v>
      </c>
      <c r="B137" s="167" t="str">
        <v>Matériel</v>
      </c>
      <c r="C137" s="152">
        <v>-2.6336581511720025E-3</v>
      </c>
      <c r="D137" s="152">
        <v>1.8494055482165539E-3</v>
      </c>
    </row>
    <row r="138" spans="1:4">
      <c r="A138" s="167" t="str">
        <v>010764181</v>
      </c>
      <c r="B138" s="167" t="str">
        <v>Mortiers et bétons secs</v>
      </c>
      <c r="C138" s="152">
        <v>-4.9562682215744669E-3</v>
      </c>
      <c r="D138" s="152">
        <v>-2.3327015599939882E-3</v>
      </c>
    </row>
    <row r="139" spans="1:4">
      <c r="A139" s="167" t="str">
        <v>010765837</v>
      </c>
      <c r="B139" s="167" t="str">
        <v>Acier pour la construction</v>
      </c>
      <c r="C139" s="152">
        <v>-7.7519379844964709E-3</v>
      </c>
      <c r="D139" s="152">
        <v>-2.8092922744462512E-2</v>
      </c>
    </row>
    <row r="140" spans="1:4">
      <c r="A140" s="167" t="str">
        <v>010763845</v>
      </c>
      <c r="B140" s="167" t="str">
        <v>Tubes, tuyaux en matière plastique</v>
      </c>
      <c r="C140" s="152">
        <v>-8.2372322899505468E-3</v>
      </c>
      <c r="D140" s="152">
        <v>-9.1788231437469614E-3</v>
      </c>
    </row>
    <row r="141" spans="1:4">
      <c r="A141" s="167" t="str">
        <v>010764228</v>
      </c>
      <c r="B141" s="167" t="str">
        <v>Appareils d'éclairage électrique</v>
      </c>
      <c r="C141" s="152">
        <v>-9.0568394753279824E-3</v>
      </c>
      <c r="D141" s="152">
        <v>-1.1627906976744318E-2</v>
      </c>
    </row>
    <row r="142" spans="1:4">
      <c r="A142" s="167" t="str">
        <v>010766236</v>
      </c>
      <c r="B142" s="167" t="str">
        <v>Barres crénelées ou nervurées pour béton armé</v>
      </c>
      <c r="C142" s="152">
        <v>-1.000769822940728E-2</v>
      </c>
      <c r="D142" s="152">
        <v>-2.9654654654654555E-2</v>
      </c>
    </row>
    <row r="143" spans="1:4">
      <c r="A143" s="167" t="str">
        <v>010764172</v>
      </c>
      <c r="B143" s="167" t="str">
        <v>Tuiles, briques et produits de construction en terre cuite</v>
      </c>
      <c r="C143" s="152">
        <v>-1.0981141083790891E-2</v>
      </c>
      <c r="D143" s="152">
        <v>-5.2531041069724393E-3</v>
      </c>
    </row>
    <row r="144" spans="1:4">
      <c r="A144" s="167" t="str">
        <v>010763825</v>
      </c>
      <c r="B144" s="167" t="str">
        <v>Peintures Industries</v>
      </c>
      <c r="C144" s="152">
        <v>-1.3013013013012942E-2</v>
      </c>
      <c r="D144" s="152">
        <v>-3.0643389085581729E-2</v>
      </c>
    </row>
    <row r="145" spans="1:4">
      <c r="A145" s="167" t="str">
        <v>010764160</v>
      </c>
      <c r="B145" s="167" t="str">
        <v>Plaques, feuilles, tubes et profilés en matières plastiques</v>
      </c>
      <c r="C145" s="152">
        <v>-1.387574897508681E-2</v>
      </c>
      <c r="D145" s="152">
        <v>-2.2808378588052625E-2</v>
      </c>
    </row>
    <row r="146" spans="1:4">
      <c r="A146" s="167" t="str">
        <v>010764187</v>
      </c>
      <c r="B146" s="167" t="str">
        <v>Tubes, tuyaux, profilés creux et accessoires correspondants en acier</v>
      </c>
      <c r="C146" s="152">
        <v>-1.4484831921289798E-2</v>
      </c>
      <c r="D146" s="152">
        <v>9.6445301736025613E-4</v>
      </c>
    </row>
    <row r="147" spans="1:4">
      <c r="A147" s="167" t="str">
        <v>010763871</v>
      </c>
      <c r="B147" s="167" t="str">
        <v>Produits de voierie en béton</v>
      </c>
      <c r="C147" s="152">
        <v>-2.1238485158648901E-2</v>
      </c>
      <c r="D147" s="152">
        <v>-1.7782293915915348E-2</v>
      </c>
    </row>
    <row r="148" spans="1:4">
      <c r="A148" s="167" t="str">
        <v>010764297</v>
      </c>
      <c r="B148" s="167" t="str">
        <v>Gaz naturel</v>
      </c>
      <c r="C148" s="152">
        <v>-2.3275862068965369E-2</v>
      </c>
      <c r="D148" s="152">
        <v>-0.15884079236977267</v>
      </c>
    </row>
    <row r="149" spans="1:4">
      <c r="A149" s="167" t="str">
        <v>010764143</v>
      </c>
      <c r="B149" s="167" t="str">
        <v>Matières plastiques sous formes primaires</v>
      </c>
      <c r="C149" s="152">
        <v>-3.6204268292682862E-2</v>
      </c>
      <c r="D149" s="152">
        <v>-7.0023461469049031E-2</v>
      </c>
    </row>
    <row r="150" spans="1:4">
      <c r="A150" s="167" t="str">
        <v>010764136</v>
      </c>
      <c r="B150" s="167" t="str">
        <v>Bitume</v>
      </c>
      <c r="C150" s="152">
        <v>-7.5425038639876263E-2</v>
      </c>
      <c r="D150" s="152">
        <v>-0.13323124042879009</v>
      </c>
    </row>
    <row r="156" spans="1:4">
      <c r="A156" s="274" t="str">
        <f>"CLASSEMENT DES INDICES SELON LEUR ÉVOLUTION A FIN "&amp;'A MODIFIER'!F4&amp;" PAR RAPPORT À "&amp;UPPER(TEXT(EDATE(DATE4,-12)," mmmmmmmm aaaa"))&amp;" ET "&amp;TEXT(EDATE(DATE4,-24),"aaaa")</f>
        <v>CLASSEMENT DES INDICES SELON LEUR ÉVOLUTION A FIN FÉVRIER 2026 PAR RAPPORT À  FÉVRIER 2025 ET 2024</v>
      </c>
      <c r="B156" s="275"/>
      <c r="C156" s="275"/>
      <c r="D156" s="275"/>
    </row>
    <row r="158" spans="1:4">
      <c r="A158" s="45" t="str">
        <f>'A MODIFIER'!E17</f>
        <v>*/février 2025 = février 2026/février 2025</v>
      </c>
    </row>
    <row r="159" spans="1:4">
      <c r="A159" s="45" t="str">
        <f>'A MODIFIER'!E18</f>
        <v>*/février 2024 = février 2026/février 2024</v>
      </c>
    </row>
    <row r="161" spans="1:4" ht="24">
      <c r="A161" s="273"/>
      <c r="B161" s="273"/>
      <c r="C161" s="166" t="str">
        <f>'A MODIFIER'!E15</f>
        <v>*/février 2025</v>
      </c>
      <c r="D161" s="166" t="str">
        <f>'A MODIFIER'!E16</f>
        <v>*/février 2024</v>
      </c>
    </row>
    <row r="162" spans="1:4">
      <c r="A162" s="8" t="str" cm="1">
        <f t="array" ref="A162:D200">'CALCULS DERNIERES EVOL INDICES'!J161:M199</f>
        <v>010764224</v>
      </c>
      <c r="B162" s="8" t="str">
        <v>Matériel de distribution et de commande électrique</v>
      </c>
      <c r="C162" s="152">
        <v>0.17223650385604117</v>
      </c>
      <c r="D162" s="152">
        <v>0.12315270935960609</v>
      </c>
    </row>
    <row r="163" spans="1:4">
      <c r="A163" s="8" t="str">
        <v>010764223</v>
      </c>
      <c r="B163" s="8" t="str">
        <v>Moteurs, génératrices, transfo. électr., matér. distrib., cmde électr.</v>
      </c>
      <c r="C163" s="152">
        <v>0.10643776824034346</v>
      </c>
      <c r="D163" s="152">
        <v>8.5930918281381663E-2</v>
      </c>
    </row>
    <row r="164" spans="1:4">
      <c r="A164" s="8" t="str">
        <v>010765839</v>
      </c>
      <c r="B164" s="8" t="str">
        <v>Tôles quarto et autres produits plats en aciers non alliés de qualité</v>
      </c>
      <c r="C164" s="152">
        <v>4.3370508054523027E-2</v>
      </c>
      <c r="D164" s="152">
        <v>-4.5351473922902508E-2</v>
      </c>
    </row>
    <row r="165" spans="1:4">
      <c r="A165" s="8">
        <v>8682743</v>
      </c>
      <c r="B165" s="8" t="str">
        <v>Travail</v>
      </c>
      <c r="C165" s="152">
        <v>3.2023289665211063E-2</v>
      </c>
      <c r="D165" s="152">
        <v>6.8575734740015326E-2</v>
      </c>
    </row>
    <row r="166" spans="1:4">
      <c r="A166" s="8" t="str">
        <v>010764101</v>
      </c>
      <c r="B166" s="8" t="str">
        <v>Autres textiles</v>
      </c>
      <c r="C166" s="152">
        <v>3.0434782608695699E-2</v>
      </c>
      <c r="D166" s="152">
        <v>5.3333333333333233E-2</v>
      </c>
    </row>
    <row r="167" spans="1:4">
      <c r="A167" s="8" t="str">
        <v> 010764116</v>
      </c>
      <c r="B167" s="8" t="str">
        <v>Ensemble des produits du sciage</v>
      </c>
      <c r="C167" s="152">
        <v>2.6149684400360584E-2</v>
      </c>
      <c r="D167" s="152">
        <v>6.4546304957904477E-2</v>
      </c>
    </row>
    <row r="168" spans="1:4">
      <c r="A168" s="8" t="str">
        <v>010764180</v>
      </c>
      <c r="B168" s="8" t="str">
        <v>Béton prêt à l'emploi</v>
      </c>
      <c r="C168" s="152">
        <v>2.3041474654377891E-2</v>
      </c>
      <c r="D168" s="152">
        <v>2.1472392638036686E-2</v>
      </c>
    </row>
    <row r="169" spans="1:4">
      <c r="A169" s="8" t="str">
        <v>001565195</v>
      </c>
      <c r="B169" s="8" t="str">
        <v>Travail activités spécialisées</v>
      </c>
      <c r="C169" s="152">
        <v>2.0756115641215489E-2</v>
      </c>
      <c r="D169" s="152">
        <v>4.7945205479452024E-2</v>
      </c>
    </row>
    <row r="170" spans="1:4">
      <c r="A170" s="8" t="str">
        <v>010764176</v>
      </c>
      <c r="B170" s="8" t="str">
        <v>Ciment, chaux et plâtre</v>
      </c>
      <c r="C170" s="152">
        <v>1.9822282980177519E-2</v>
      </c>
      <c r="D170" s="152">
        <v>3.2525951557093258E-2</v>
      </c>
    </row>
    <row r="171" spans="1:4">
      <c r="A171" s="8" t="str">
        <v>001711943</v>
      </c>
      <c r="B171" s="8" t="str">
        <v>Transports routiers</v>
      </c>
      <c r="C171" s="152">
        <v>1.7813765182186359E-2</v>
      </c>
      <c r="D171" s="152">
        <v>1.3709677419354804E-2</v>
      </c>
    </row>
    <row r="172" spans="1:4">
      <c r="A172" s="8" t="str">
        <v>010764301</v>
      </c>
      <c r="B172" s="8" t="str">
        <v>Collecte, traitement et élimination des déchets ; récupération de matériaux</v>
      </c>
      <c r="C172" s="152">
        <v>1.642335766423364E-2</v>
      </c>
      <c r="D172" s="152">
        <v>3.2437442075996303E-2</v>
      </c>
    </row>
    <row r="173" spans="1:4">
      <c r="A173" s="8" t="str">
        <v>010765500</v>
      </c>
      <c r="B173" s="8" t="str">
        <v>Sables et granulats</v>
      </c>
      <c r="C173" s="152">
        <v>1.3710368466152589E-2</v>
      </c>
      <c r="D173" s="152">
        <v>8.4602368866315558E-4</v>
      </c>
    </row>
    <row r="174" spans="1:4">
      <c r="A174" s="8" t="str">
        <v>010764179</v>
      </c>
      <c r="B174" s="8" t="str">
        <v>Éléments en béton pour la construction</v>
      </c>
      <c r="C174" s="152">
        <v>1.0961214165261524E-2</v>
      </c>
      <c r="D174" s="152">
        <v>-1.882160392798693E-2</v>
      </c>
    </row>
    <row r="175" spans="1:4">
      <c r="A175" s="8" t="str">
        <v>010777519</v>
      </c>
      <c r="B175" s="8" t="str">
        <v>GNR pour les Travaux Publics</v>
      </c>
      <c r="C175" s="152">
        <v>1.0282776349614275E-2</v>
      </c>
      <c r="D175" s="152">
        <v>2.8122956180510084E-2</v>
      </c>
    </row>
    <row r="176" spans="1:4">
      <c r="A176" s="8" t="str">
        <v>001711009</v>
      </c>
      <c r="B176" s="8" t="str">
        <v>Matériel</v>
      </c>
      <c r="C176" s="152">
        <v>6.4102564102563875E-3</v>
      </c>
      <c r="D176" s="152">
        <v>1.208702659145855E-2</v>
      </c>
    </row>
    <row r="177" spans="1:4">
      <c r="A177" s="8" t="str">
        <v>010763881</v>
      </c>
      <c r="B177" s="8" t="str">
        <v>Produits sidérurgiques en acier non allié</v>
      </c>
      <c r="C177" s="152">
        <v>6.382978723404209E-3</v>
      </c>
      <c r="D177" s="152">
        <v>-4.2510121457489891E-2</v>
      </c>
    </row>
    <row r="178" spans="1:4">
      <c r="A178" s="8" t="str">
        <v>010764195</v>
      </c>
      <c r="B178" s="8" t="str">
        <v>Travaux de fonderie de fonte</v>
      </c>
      <c r="C178" s="152">
        <v>3.8850038850037905E-3</v>
      </c>
      <c r="D178" s="152">
        <v>7.7459333849727585E-4</v>
      </c>
    </row>
    <row r="179" spans="1:4">
      <c r="A179" s="8" t="str">
        <v>001711011</v>
      </c>
      <c r="B179" s="8" t="str">
        <v>Frais divers</v>
      </c>
      <c r="C179" s="152">
        <v>3.3670033670034627E-3</v>
      </c>
      <c r="D179" s="152">
        <v>1.1884550084889645E-2</v>
      </c>
    </row>
    <row r="180" spans="1:4">
      <c r="A180" s="8" t="str">
        <v>010763871</v>
      </c>
      <c r="B180" s="8" t="str">
        <v>Produits de voierie en béton</v>
      </c>
      <c r="C180" s="152">
        <v>2.3400936037443199E-3</v>
      </c>
      <c r="D180" s="152">
        <v>3.2958199356913243E-2</v>
      </c>
    </row>
    <row r="181" spans="1:4">
      <c r="A181" s="8" t="str">
        <v>010764306</v>
      </c>
      <c r="B181" s="8" t="str">
        <v>Traitement et élimination des déchets non dangereux</v>
      </c>
      <c r="C181" s="152">
        <v>1.6906170752324368E-3</v>
      </c>
      <c r="D181" s="152">
        <v>2.2433132010353685E-2</v>
      </c>
    </row>
    <row r="182" spans="1:4">
      <c r="A182" s="8" t="str">
        <v>010763845</v>
      </c>
      <c r="B182" s="8" t="str">
        <v>Tubes, tuyaux en matière plastique</v>
      </c>
      <c r="C182" s="152">
        <v>-9.8814229249022389E-4</v>
      </c>
      <c r="D182" s="152">
        <v>-6.1281337047353834E-2</v>
      </c>
    </row>
    <row r="183" spans="1:4">
      <c r="A183" s="8" t="str">
        <v>010766292</v>
      </c>
      <c r="B183" s="8" t="str">
        <v>Réseaux d’assainissement</v>
      </c>
      <c r="C183" s="152">
        <v>-2.3400936037439868E-3</v>
      </c>
      <c r="D183" s="152">
        <v>1.0268562401263948E-2</v>
      </c>
    </row>
    <row r="184" spans="1:4">
      <c r="A184" s="8" t="str">
        <v>010763930</v>
      </c>
      <c r="B184" s="8" t="str">
        <v>Fils et câbles d'énergie</v>
      </c>
      <c r="C184" s="152">
        <v>-9.471191791633804E-3</v>
      </c>
      <c r="D184" s="152">
        <v>7.9105760963026572E-2</v>
      </c>
    </row>
    <row r="185" spans="1:4">
      <c r="A185" s="8" t="str">
        <v>010764172</v>
      </c>
      <c r="B185" s="8" t="str">
        <v>Tuiles, briques et produits de construction en terre cuite</v>
      </c>
      <c r="C185" s="152">
        <v>-1.074498567335247E-2</v>
      </c>
      <c r="D185" s="152">
        <v>-3.6075036075036149E-3</v>
      </c>
    </row>
    <row r="186" spans="1:4">
      <c r="A186" s="8" t="str">
        <v>001764283</v>
      </c>
      <c r="B186" s="8" t="str">
        <v>Gazole</v>
      </c>
      <c r="C186" s="152">
        <v>-1.1281070745697841E-2</v>
      </c>
      <c r="D186" s="152">
        <v>-7.1133465061972379E-2</v>
      </c>
    </row>
    <row r="187" spans="1:4">
      <c r="A187" s="8" t="str">
        <v>010766236</v>
      </c>
      <c r="B187" s="8" t="str">
        <v>Barres crénelées ou nervurées pour béton armé</v>
      </c>
      <c r="C187" s="152">
        <v>-1.6000000000000014E-2</v>
      </c>
      <c r="D187" s="152">
        <v>-5.5921052631579093E-2</v>
      </c>
    </row>
    <row r="188" spans="1:4">
      <c r="A188" s="8" t="str">
        <v>010765837</v>
      </c>
      <c r="B188" s="8" t="str">
        <v>Acier pour la construction</v>
      </c>
      <c r="C188" s="152">
        <v>-1.7543859649122862E-2</v>
      </c>
      <c r="D188" s="152">
        <v>-6.079664570230614E-2</v>
      </c>
    </row>
    <row r="189" spans="1:4">
      <c r="A189" s="8" t="str">
        <v>Gazole routier HTT</v>
      </c>
      <c r="B189" s="8" t="str">
        <v>Gazole routier HTT</v>
      </c>
      <c r="C189" s="152">
        <v>-1.8689960051602728E-2</v>
      </c>
      <c r="D189" s="152">
        <v>-0.12498608792431809</v>
      </c>
    </row>
    <row r="190" spans="1:4">
      <c r="A190" s="8" t="str">
        <v>010764181</v>
      </c>
      <c r="B190" s="8" t="str">
        <v>Mortiers et bétons secs</v>
      </c>
      <c r="C190" s="152">
        <v>-1.8916595012897663E-2</v>
      </c>
      <c r="D190" s="152">
        <v>-2.227934875749793E-2</v>
      </c>
    </row>
    <row r="191" spans="1:4">
      <c r="A191" s="8" t="str">
        <v>010764187</v>
      </c>
      <c r="B191" s="8" t="str">
        <v>Tubes, tuyaux, profilés creux et accessoires correspondants en acier</v>
      </c>
      <c r="C191" s="152">
        <v>-2.1612635078969156E-2</v>
      </c>
      <c r="D191" s="152">
        <v>-5.915267785771372E-2</v>
      </c>
    </row>
    <row r="192" spans="1:4">
      <c r="A192" s="8" t="str">
        <v>010764228</v>
      </c>
      <c r="B192" s="8" t="str">
        <v>Appareils d'éclairage électrique</v>
      </c>
      <c r="C192" s="152">
        <v>-2.2471910112359494E-2</v>
      </c>
      <c r="D192" s="152">
        <v>-3.9558417663293488E-2</v>
      </c>
    </row>
    <row r="193" spans="1:4">
      <c r="A193" s="8" t="str">
        <v>010764160</v>
      </c>
      <c r="B193" s="8" t="str">
        <v>Plaques, feuilles, tubes et profilés en matières plastiques</v>
      </c>
      <c r="C193" s="152">
        <v>-3.2649253731343308E-2</v>
      </c>
      <c r="D193" s="152">
        <v>-3.2649253731343308E-2</v>
      </c>
    </row>
    <row r="194" spans="1:4">
      <c r="A194" s="8" t="str">
        <v>010763825</v>
      </c>
      <c r="B194" s="8" t="str">
        <v>Peintures Industries</v>
      </c>
      <c r="C194" s="152">
        <v>-3.3973412112259904E-2</v>
      </c>
      <c r="D194" s="152">
        <v>-4.8727272727272619E-2</v>
      </c>
    </row>
    <row r="195" spans="1:4">
      <c r="A195" s="8" t="str">
        <v>010764149</v>
      </c>
      <c r="B195" s="8" t="str">
        <v>Autres produits chimiques</v>
      </c>
      <c r="C195" s="152">
        <v>-4.8305084745762783E-2</v>
      </c>
      <c r="D195" s="152">
        <v>3.5977859778597798E-2</v>
      </c>
    </row>
    <row r="196" spans="1:4">
      <c r="A196" s="8" t="str">
        <v>010764834</v>
      </c>
      <c r="B196" s="8" t="str">
        <v>Câbles de fibres optiques</v>
      </c>
      <c r="C196" s="152">
        <v>-5.2752293577981724E-2</v>
      </c>
      <c r="D196" s="152">
        <v>-0.17564870259481047</v>
      </c>
    </row>
    <row r="197" spans="1:4">
      <c r="A197" s="8" t="str">
        <v>010764291</v>
      </c>
      <c r="B197" s="8" t="str">
        <v>Électricité vendue aux entreprises consommatrices finales</v>
      </c>
      <c r="C197" s="152">
        <v>-9.113300492610843E-2</v>
      </c>
      <c r="D197" s="152">
        <v>-0.23523316062176169</v>
      </c>
    </row>
    <row r="198" spans="1:4">
      <c r="A198" s="8" t="str">
        <v>010764143</v>
      </c>
      <c r="B198" s="8" t="str">
        <v>Matières plastiques sous formes primaires</v>
      </c>
      <c r="C198" s="152">
        <v>-0.10782241014799143</v>
      </c>
      <c r="D198" s="152">
        <v>-9.7326203208556117E-2</v>
      </c>
    </row>
    <row r="199" spans="1:4">
      <c r="A199" s="8" t="str">
        <v>010764136</v>
      </c>
      <c r="B199" s="8" t="str">
        <v>Bitume</v>
      </c>
      <c r="C199" s="152">
        <v>-0.22213622291021662</v>
      </c>
      <c r="D199" s="152">
        <v>-0.10587188612099652</v>
      </c>
    </row>
    <row r="200" spans="1:4">
      <c r="A200" s="8" t="str">
        <v>010764297</v>
      </c>
      <c r="B200" s="8" t="str">
        <v>Gaz naturel</v>
      </c>
      <c r="C200" s="152">
        <v>-0.29086115992970119</v>
      </c>
      <c r="D200" s="152">
        <v>0.17126269956458628</v>
      </c>
    </row>
    <row r="205" spans="1:4">
      <c r="A205" s="274" t="str">
        <f>"CLASSEMENT DES INDICES SELON LEUR ÉVOLUTION A FIN "&amp;'A MODIFIER'!F4&amp;" PAR RAPPORT À "&amp;UPPER(TEXT(EDATE(DATE4,-1)," mmmmmmmm aaaa"))</f>
        <v>CLASSEMENT DES INDICES SELON LEUR ÉVOLUTION A FIN FÉVRIER 2026 PAR RAPPORT À  JANVIER 2026</v>
      </c>
      <c r="B205" s="274"/>
      <c r="C205" s="274"/>
      <c r="D205" s="274"/>
    </row>
    <row r="208" spans="1:4">
      <c r="A208" s="8" t="str" cm="1">
        <f t="array" ref="A208:C246">'CALCULS DERNIERES EVOL INDICES'!J212:L250</f>
        <v>010764297</v>
      </c>
      <c r="B208" s="8" t="str">
        <v>Gaz naturel</v>
      </c>
      <c r="C208" s="152">
        <v>0.13025210084033612</v>
      </c>
    </row>
    <row r="209" spans="1:3">
      <c r="A209" s="8" t="str">
        <v>010777519</v>
      </c>
      <c r="B209" s="8" t="str">
        <v>GNR pour les Travaux Publics</v>
      </c>
      <c r="C209" s="152">
        <v>4.7301798800799322E-2</v>
      </c>
    </row>
    <row r="210" spans="1:3">
      <c r="A210" s="8" t="str">
        <v>Gazole routier HTT</v>
      </c>
      <c r="B210" s="8" t="str">
        <v>Gazole routier HTT</v>
      </c>
      <c r="C210" s="152">
        <v>4.2152704135737018E-2</v>
      </c>
    </row>
    <row r="211" spans="1:3">
      <c r="A211" s="8" t="str">
        <v>010764136</v>
      </c>
      <c r="B211" s="8" t="str">
        <v>Bitume</v>
      </c>
      <c r="C211" s="152">
        <v>3.7151702786377694E-2</v>
      </c>
    </row>
    <row r="212" spans="1:3">
      <c r="A212" s="8" t="str">
        <v>001764283</v>
      </c>
      <c r="B212" s="8" t="str">
        <v>Gazole</v>
      </c>
      <c r="C212" s="152">
        <v>2.4873649786938845E-2</v>
      </c>
    </row>
    <row r="213" spans="1:3">
      <c r="A213" s="8" t="str">
        <v>010765839</v>
      </c>
      <c r="B213" s="8" t="str">
        <v>Tôles quarto et autres produits plats en aciers non alliés de qualité</v>
      </c>
      <c r="C213" s="152">
        <v>1.8137847642079707E-2</v>
      </c>
    </row>
    <row r="214" spans="1:3">
      <c r="A214" s="8" t="str">
        <v>010763881</v>
      </c>
      <c r="B214" s="8" t="str">
        <v>Produits sidérurgiques en acier non allié</v>
      </c>
      <c r="C214" s="152">
        <v>1.7204301075268713E-2</v>
      </c>
    </row>
    <row r="215" spans="1:3">
      <c r="A215" s="8" t="str">
        <v>010765500</v>
      </c>
      <c r="B215" s="8" t="str">
        <v>Sables et granulats</v>
      </c>
      <c r="C215" s="152">
        <v>1.632302405498276E-2</v>
      </c>
    </row>
    <row r="216" spans="1:3">
      <c r="A216" s="8" t="str">
        <v>010764224</v>
      </c>
      <c r="B216" s="8" t="str">
        <v>Matériel de distribution et de commande électrique</v>
      </c>
      <c r="C216" s="152">
        <v>1.4084507042253502E-2</v>
      </c>
    </row>
    <row r="217" spans="1:3">
      <c r="A217" s="8" t="str">
        <v>010763871</v>
      </c>
      <c r="B217" s="8" t="str">
        <v>Produits de voierie en béton</v>
      </c>
      <c r="C217" s="152">
        <v>1.3406940063091399E-2</v>
      </c>
    </row>
    <row r="218" spans="1:3">
      <c r="A218" s="8" t="str">
        <v>010764195</v>
      </c>
      <c r="B218" s="8" t="str">
        <v>Travaux de fonderie de fonte</v>
      </c>
      <c r="C218" s="152">
        <v>1.3333333333333197E-2</v>
      </c>
    </row>
    <row r="219" spans="1:3">
      <c r="A219" s="8" t="str">
        <v>001711011</v>
      </c>
      <c r="B219" s="8" t="str">
        <v>Frais divers</v>
      </c>
      <c r="C219" s="152">
        <v>1.0169491525423791E-2</v>
      </c>
    </row>
    <row r="220" spans="1:3">
      <c r="A220" s="8" t="str">
        <v>010763845</v>
      </c>
      <c r="B220" s="8" t="str">
        <v>Tubes, tuyaux en matière plastique</v>
      </c>
      <c r="C220" s="152">
        <v>9.9900099900100958E-3</v>
      </c>
    </row>
    <row r="221" spans="1:3">
      <c r="A221" s="8" t="str">
        <v>010764301</v>
      </c>
      <c r="B221" s="8" t="str">
        <v>Collecte, traitement et élimination des déchets ; récupération de matériaux</v>
      </c>
      <c r="C221" s="152">
        <v>9.9728014505893192E-3</v>
      </c>
    </row>
    <row r="222" spans="1:3">
      <c r="A222" s="8" t="str">
        <v>010764179</v>
      </c>
      <c r="B222" s="8" t="str">
        <v>Éléments en béton pour la construction</v>
      </c>
      <c r="C222" s="152">
        <v>8.410428931875602E-3</v>
      </c>
    </row>
    <row r="223" spans="1:3">
      <c r="A223" s="8" t="str">
        <v>010764143</v>
      </c>
      <c r="B223" s="8" t="str">
        <v>Matières plastiques sous formes primaires</v>
      </c>
      <c r="C223" s="152">
        <v>7.1599045346062429E-3</v>
      </c>
    </row>
    <row r="224" spans="1:3">
      <c r="A224" s="8" t="str">
        <v>010764223</v>
      </c>
      <c r="B224" s="8" t="str">
        <v>Moteurs, génératrices, transfo. électr., matér. distrib., cmde électr.</v>
      </c>
      <c r="C224" s="152">
        <v>7.0312500000000444E-3</v>
      </c>
    </row>
    <row r="225" spans="1:3">
      <c r="A225" s="8" t="str">
        <v>010766236</v>
      </c>
      <c r="B225" s="8" t="str">
        <v>Barres crénelées ou nervurées pour béton armé</v>
      </c>
      <c r="C225" s="152">
        <v>7.0175438596491446E-3</v>
      </c>
    </row>
    <row r="226" spans="1:3">
      <c r="A226" s="8">
        <v>8682743</v>
      </c>
      <c r="B226" s="8" t="str">
        <v>Travail</v>
      </c>
      <c r="C226" s="152">
        <v>0</v>
      </c>
    </row>
    <row r="227" spans="1:3">
      <c r="A227" s="8" t="str">
        <v>001565195</v>
      </c>
      <c r="B227" s="8" t="str">
        <v>Travail activités spécialisées</v>
      </c>
      <c r="C227" s="152">
        <v>0</v>
      </c>
    </row>
    <row r="228" spans="1:3">
      <c r="A228" s="8" t="str">
        <v>001711943</v>
      </c>
      <c r="B228" s="8" t="str">
        <v>Transports routiers</v>
      </c>
      <c r="C228" s="152">
        <v>0</v>
      </c>
    </row>
    <row r="229" spans="1:3">
      <c r="A229" s="8" t="str">
        <v>010765837</v>
      </c>
      <c r="B229" s="8" t="str">
        <v>Acier pour la construction</v>
      </c>
      <c r="C229" s="152">
        <v>0</v>
      </c>
    </row>
    <row r="230" spans="1:3">
      <c r="A230" s="8" t="str">
        <v>010764172</v>
      </c>
      <c r="B230" s="8" t="str">
        <v>Tuiles, briques et produits de construction en terre cuite</v>
      </c>
      <c r="C230" s="152">
        <v>0</v>
      </c>
    </row>
    <row r="231" spans="1:3">
      <c r="A231" s="8" t="str">
        <v>010766292</v>
      </c>
      <c r="B231" s="8" t="str">
        <v>Réseaux d’assainissement</v>
      </c>
      <c r="C231" s="152">
        <v>0</v>
      </c>
    </row>
    <row r="232" spans="1:3">
      <c r="A232" s="8" t="str">
        <v>010764101</v>
      </c>
      <c r="B232" s="8" t="str">
        <v>Autres textiles</v>
      </c>
      <c r="C232" s="152">
        <v>0</v>
      </c>
    </row>
    <row r="233" spans="1:3">
      <c r="A233" s="8" t="str">
        <v>010763930</v>
      </c>
      <c r="B233" s="8" t="str">
        <v>Fils et câbles d'énergie</v>
      </c>
      <c r="C233" s="152">
        <v>0</v>
      </c>
    </row>
    <row r="234" spans="1:3">
      <c r="A234" s="8" t="str">
        <v>010764306</v>
      </c>
      <c r="B234" s="8" t="str">
        <v>Traitement et élimination des déchets non dangereux</v>
      </c>
      <c r="C234" s="152">
        <v>0</v>
      </c>
    </row>
    <row r="235" spans="1:3">
      <c r="A235" s="8" t="str">
        <v> 010764116</v>
      </c>
      <c r="B235" s="8" t="str">
        <v>Ensemble des produits du sciage</v>
      </c>
      <c r="C235" s="152">
        <v>-8.779631255487752E-4</v>
      </c>
    </row>
    <row r="236" spans="1:3">
      <c r="A236" s="8" t="str">
        <v>010764149</v>
      </c>
      <c r="B236" s="8" t="str">
        <v>Autres produits chimiques</v>
      </c>
      <c r="C236" s="152">
        <v>-8.8967971530251599E-4</v>
      </c>
    </row>
    <row r="237" spans="1:3">
      <c r="A237" s="8" t="str">
        <v>010764834</v>
      </c>
      <c r="B237" s="8" t="str">
        <v>Câbles de fibres optiques</v>
      </c>
      <c r="C237" s="152">
        <v>-1.2091898428053804E-3</v>
      </c>
    </row>
    <row r="238" spans="1:3">
      <c r="A238" s="8" t="str">
        <v>010763825</v>
      </c>
      <c r="B238" s="8" t="str">
        <v>Peintures Industries</v>
      </c>
      <c r="C238" s="152">
        <v>-3.0487804878046587E-3</v>
      </c>
    </row>
    <row r="239" spans="1:3">
      <c r="A239" s="8" t="str">
        <v>010764180</v>
      </c>
      <c r="B239" s="8" t="str">
        <v>Béton prêt à l'emploi</v>
      </c>
      <c r="C239" s="152">
        <v>-4.48430493273555E-3</v>
      </c>
    </row>
    <row r="240" spans="1:3">
      <c r="A240" s="8" t="str">
        <v>010764160</v>
      </c>
      <c r="B240" s="8" t="str">
        <v>Plaques, feuilles, tubes et profilés en matières plastiques</v>
      </c>
      <c r="C240" s="152">
        <v>-4.7984644913627861E-3</v>
      </c>
    </row>
    <row r="241" spans="1:4">
      <c r="A241" s="8" t="str">
        <v>010764176</v>
      </c>
      <c r="B241" s="8" t="str">
        <v>Ciment, chaux et plâtre</v>
      </c>
      <c r="C241" s="152">
        <v>-7.9787234042554278E-3</v>
      </c>
    </row>
    <row r="242" spans="1:4">
      <c r="A242" s="8" t="str">
        <v>010764181</v>
      </c>
      <c r="B242" s="8" t="str">
        <v>Mortiers et bétons secs</v>
      </c>
      <c r="C242" s="152">
        <v>-8.6880973066898459E-3</v>
      </c>
    </row>
    <row r="243" spans="1:4">
      <c r="A243" s="8" t="str">
        <v>001711009</v>
      </c>
      <c r="B243" s="8" t="str">
        <v>Matériel</v>
      </c>
      <c r="C243" s="152">
        <v>-1.5673981191222541E-2</v>
      </c>
    </row>
    <row r="244" spans="1:4">
      <c r="A244" s="8" t="str">
        <v>010764228</v>
      </c>
      <c r="B244" s="8" t="str">
        <v>Appareils d'éclairage électrique</v>
      </c>
      <c r="C244" s="152">
        <v>-2.7027027027026973E-2</v>
      </c>
    </row>
    <row r="245" spans="1:4">
      <c r="A245" s="8" t="str">
        <v>010764187</v>
      </c>
      <c r="B245" s="8" t="str">
        <v>Tubes, tuyaux, profilés creux et accessoires correspondants en acier</v>
      </c>
      <c r="C245" s="152">
        <v>-4.2310821806346599E-2</v>
      </c>
    </row>
    <row r="246" spans="1:4">
      <c r="A246" s="8" t="str">
        <v>010764291</v>
      </c>
      <c r="B246" s="8" t="str">
        <v>Électricité vendue aux entreprises consommatrices finales</v>
      </c>
      <c r="C246" s="152">
        <v>-4.2801556420233422E-2</v>
      </c>
    </row>
    <row r="248" spans="1:4">
      <c r="C248"/>
      <c r="D248"/>
    </row>
    <row r="249" spans="1:4">
      <c r="A249" t="s">
        <v>360</v>
      </c>
      <c r="C249"/>
      <c r="D249"/>
    </row>
    <row r="250" spans="1:4">
      <c r="A250" t="s">
        <v>129</v>
      </c>
      <c r="C250"/>
      <c r="D250"/>
    </row>
    <row r="251" spans="1:4">
      <c r="A251" t="s">
        <v>134</v>
      </c>
      <c r="C251"/>
      <c r="D251"/>
    </row>
    <row r="252" spans="1:4">
      <c r="A252" t="s">
        <v>116</v>
      </c>
    </row>
    <row r="253" spans="1:4">
      <c r="A253" t="s">
        <v>117</v>
      </c>
    </row>
    <row r="254" spans="1:4">
      <c r="A254" s="188"/>
    </row>
    <row r="255" spans="1:4">
      <c r="A255" t="s">
        <v>361</v>
      </c>
    </row>
    <row r="256" spans="1:4">
      <c r="A256" t="s">
        <v>138</v>
      </c>
    </row>
    <row r="257" spans="1:1">
      <c r="A257" t="s">
        <v>266</v>
      </c>
    </row>
    <row r="258" spans="1:1">
      <c r="A258" s="188"/>
    </row>
    <row r="259" spans="1:1">
      <c r="A259" s="188"/>
    </row>
    <row r="260" spans="1:1">
      <c r="A260" s="188"/>
    </row>
    <row r="261" spans="1:1">
      <c r="A261" s="188"/>
    </row>
    <row r="262" spans="1:1">
      <c r="A262" s="188"/>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F41"/>
  <sheetViews>
    <sheetView showGridLines="0" topLeftCell="A2" workbookViewId="0">
      <selection activeCell="B34" sqref="B34"/>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6" ht="18.75">
      <c r="A1" s="276" t="s">
        <v>183</v>
      </c>
      <c r="B1" s="277"/>
      <c r="C1" s="118"/>
      <c r="D1" s="278" t="s">
        <v>184</v>
      </c>
      <c r="E1" s="278"/>
    </row>
    <row r="2" spans="1:6">
      <c r="B2" s="3"/>
      <c r="E2" s="3"/>
    </row>
    <row r="3" spans="1:6">
      <c r="A3" s="135" t="s">
        <v>19</v>
      </c>
      <c r="B3" s="195" t="str">
        <f>HYPERLINK('DEPUIS JANVIER'!A7,'DEPUIS JANVIER'!C7)</f>
        <v>Index général tous travaux</v>
      </c>
      <c r="D3" s="135" t="s">
        <v>47</v>
      </c>
      <c r="E3" s="164" t="str">
        <f>HYPERLINK('DEPUIS JANVIER'!A45,'DEPUIS JANVIER'!C45)</f>
        <v>Matériel</v>
      </c>
    </row>
    <row r="4" spans="1:6">
      <c r="A4" s="135" t="s">
        <v>20</v>
      </c>
      <c r="B4" s="195" t="str">
        <f>HYPERLINK('DEPUIS JANVIER'!A8,'DEPUIS JANVIER'!C8)</f>
        <v>Travaux de génie civil et d’ouvrages d’art neufs ou rénovation</v>
      </c>
      <c r="D4" s="135">
        <v>8899388</v>
      </c>
      <c r="E4" s="164" t="str">
        <f>HYPERLINK('DEPUIS JANVIER'!A46,'DEPUIS JANVIER'!C46)</f>
        <v>Travail</v>
      </c>
      <c r="F4" s="37"/>
    </row>
    <row r="5" spans="1:6">
      <c r="A5" s="135" t="s">
        <v>21</v>
      </c>
      <c r="B5" s="195" t="str">
        <f>HYPERLINK('DEPUIS JANVIER'!A9,'DEPUIS JANVIER'!C9)</f>
        <v>Grands terrassements</v>
      </c>
      <c r="D5" s="135" t="s">
        <v>49</v>
      </c>
      <c r="E5" s="164" t="str">
        <f>HYPERLINK('DEPUIS JANVIER'!A47,'DEPUIS JANVIER'!C47)</f>
        <v>Travail activités spécialisées</v>
      </c>
    </row>
    <row r="6" spans="1:6">
      <c r="A6" s="135" t="s">
        <v>22</v>
      </c>
      <c r="B6" s="195" t="str">
        <f>HYPERLINK('DEPUIS JANVIER'!A10,'DEPUIS JANVIER'!C10)</f>
        <v>Travaux à l’explosif</v>
      </c>
      <c r="D6" s="144" t="s">
        <v>317</v>
      </c>
      <c r="E6" s="164" t="str">
        <f>HYPERLINK('DEPUIS JANVIER'!A48,'DEPUIS JANVIER'!C48)</f>
        <v>GNR pour les Travaux Publics</v>
      </c>
    </row>
    <row r="7" spans="1:6">
      <c r="A7" s="135" t="s">
        <v>23</v>
      </c>
      <c r="B7" s="195" t="str">
        <f>HYPERLINK('DEPUIS JANVIER'!A11,'DEPUIS JANVIER'!C11)</f>
        <v xml:space="preserve">Fondations et travaux géotechniques </v>
      </c>
      <c r="D7" s="144" t="s">
        <v>358</v>
      </c>
      <c r="E7" s="164" t="str">
        <f>HYPERLINK('DEPUIS JANVIER'!A49,'DEPUIS JANVIER'!C49)</f>
        <v>Gazole</v>
      </c>
    </row>
    <row r="8" spans="1:6">
      <c r="A8" s="135" t="s">
        <v>24</v>
      </c>
      <c r="B8" s="195" t="str">
        <f>HYPERLINK('DEPUIS JANVIER'!A12,'DEPUIS JANVIER'!C12)</f>
        <v xml:space="preserve">Travaux en souterrains traditionnels </v>
      </c>
      <c r="D8" s="135" t="s">
        <v>51</v>
      </c>
      <c r="E8" s="164" t="str">
        <f>HYPERLINK('DEPUIS JANVIER'!A50,'DEPUIS JANVIER'!C50)</f>
        <v>Frais divers</v>
      </c>
    </row>
    <row r="9" spans="1:6">
      <c r="A9" s="135" t="s">
        <v>25</v>
      </c>
      <c r="B9" s="195" t="str">
        <f>HYPERLINK('DEPUIS JANVIER'!A13,'DEPUIS JANVIER'!C13)</f>
        <v xml:space="preserve">Travaux en souterrains avec tunnelier </v>
      </c>
      <c r="D9" s="135" t="s">
        <v>52</v>
      </c>
      <c r="E9" s="164" t="str">
        <f>HYPERLINK('DEPUIS JANVIER'!A51,'DEPUIS JANVIER'!C51)</f>
        <v>Transports routiers</v>
      </c>
    </row>
    <row r="10" spans="1:6">
      <c r="A10" s="135" t="s">
        <v>26</v>
      </c>
      <c r="B10" s="195" t="str">
        <f>HYPERLINK('DEPUIS JANVIER'!A14,'DEPUIS JANVIER'!C14)</f>
        <v>Grands dragages maritimes </v>
      </c>
      <c r="D10" s="144" t="s">
        <v>320</v>
      </c>
      <c r="E10" s="164" t="str">
        <f>HYPERLINK('DEPUIS JANVIER'!A52,'DEPUIS JANVIER'!C52)</f>
        <v>Électricité vendue aux entreprises consommatrices finales</v>
      </c>
    </row>
    <row r="11" spans="1:6">
      <c r="A11" s="135" t="s">
        <v>27</v>
      </c>
      <c r="B11" s="195" t="str">
        <f>HYPERLINK('DEPUIS JANVIER'!A15,'DEPUIS JANVIER'!C15)</f>
        <v>Dragages fluviaux et petits dragages maritimes</v>
      </c>
      <c r="D11" s="144" t="s">
        <v>321</v>
      </c>
      <c r="E11" s="164" t="str">
        <f>HYPERLINK('DEPUIS JANVIER'!A53,'DEPUIS JANVIER'!C53)</f>
        <v>Gaz naturel</v>
      </c>
    </row>
    <row r="12" spans="1:6">
      <c r="A12" s="135" t="s">
        <v>28</v>
      </c>
      <c r="B12" s="195" t="str">
        <f>HYPERLINK('DEPUIS JANVIER'!A16,'DEPUIS JANVIER'!C16)</f>
        <v>Travaux de génie civil, béton et acier pour ouvrages maritimes et fluviaux</v>
      </c>
      <c r="D12" s="135" t="s">
        <v>55</v>
      </c>
      <c r="E12" s="164" t="str">
        <f>HYPERLINK('DEPUIS JANVIER'!A54,'DEPUIS JANVIER'!C54)</f>
        <v>Gazole routier HTT</v>
      </c>
    </row>
    <row r="13" spans="1:6">
      <c r="A13" s="135" t="s">
        <v>29</v>
      </c>
      <c r="B13" s="195" t="str">
        <f>HYPERLINK('DEPUIS JANVIER'!A17,'DEPUIS JANVIER'!C17)</f>
        <v>Travaux d’aménagement et entretien de voirie en zones rurale et urbaine</v>
      </c>
      <c r="D13" s="144" t="s">
        <v>322</v>
      </c>
      <c r="E13" s="164" t="str">
        <f>HYPERLINK('DEPUIS JANVIER'!A55,'DEPUIS JANVIER'!C55)</f>
        <v>Tubes, tuyaux en matière plastique</v>
      </c>
    </row>
    <row r="14" spans="1:6">
      <c r="A14" s="135" t="s">
        <v>30</v>
      </c>
      <c r="B14" s="195" t="str">
        <f>HYPERLINK('DEPUIS JANVIER'!A18,'DEPUIS JANVIER'!C18)</f>
        <v>Fabrication et mise en œuvre d’enrobés </v>
      </c>
      <c r="D14" s="135" t="s">
        <v>283</v>
      </c>
      <c r="E14" s="164" t="str">
        <f>HYPERLINK('DEPUIS JANVIER'!A56,'DEPUIS JANVIER'!C56)</f>
        <v>Ensemble des produits du sciage</v>
      </c>
    </row>
    <row r="15" spans="1:6">
      <c r="A15" s="135" t="s">
        <v>31</v>
      </c>
      <c r="B15" s="195" t="str">
        <f>HYPERLINK('DEPUIS JANVIER'!A19,'DEPUIS JANVIER'!C19)</f>
        <v>Canalisations sans fourniture de tuyaux</v>
      </c>
      <c r="D15" s="144" t="s">
        <v>323</v>
      </c>
      <c r="E15" s="164" t="str">
        <f>HYPERLINK('DEPUIS JANVIER'!A57,'DEPUIS JANVIER'!C57)</f>
        <v>Béton prêt à l'emploi</v>
      </c>
    </row>
    <row r="16" spans="1:6">
      <c r="A16" s="135" t="s">
        <v>32</v>
      </c>
      <c r="B16" s="195" t="str">
        <f>HYPERLINK('DEPUIS JANVIER'!A20,'DEPUIS JANVIER'!C20)</f>
        <v>Réhabilitation de canalisations non visitables</v>
      </c>
      <c r="D16" s="144" t="s">
        <v>324</v>
      </c>
      <c r="E16" s="164" t="str">
        <f>HYPERLINK('DEPUIS JANVIER'!A58,'DEPUIS JANVIER'!C58)</f>
        <v>Barres crénelées ou nervurées pour béton armé</v>
      </c>
    </row>
    <row r="17" spans="1:5">
      <c r="A17" s="135" t="s">
        <v>33</v>
      </c>
      <c r="B17" s="195" t="str">
        <f>HYPERLINK('DEPUIS JANVIER'!A21,'DEPUIS JANVIER'!C21)</f>
        <v>Réseaux de chauffage et de froid avec fourniture de tuyaux</v>
      </c>
      <c r="D17" s="144" t="s">
        <v>319</v>
      </c>
      <c r="E17" s="164" t="str">
        <f>HYPERLINK('DEPUIS JANVIER'!A59,'DEPUIS JANVIER'!C59)</f>
        <v>Sables et granulats</v>
      </c>
    </row>
    <row r="18" spans="1:5">
      <c r="A18" s="135" t="s">
        <v>269</v>
      </c>
      <c r="B18" s="195" t="str">
        <f>HYPERLINK('DEPUIS JANVIER'!A22,'DEPUIS JANVIER'!C22)</f>
        <v>Canalisations, assainnissement et adduction d'eau avec fourniture de tuyaux en fonte majoritaire</v>
      </c>
      <c r="D18" s="144" t="s">
        <v>325</v>
      </c>
      <c r="E18" s="164" t="str">
        <f>HYPERLINK('DEPUIS JANVIER'!A60,'DEPUIS JANVIER'!C60)</f>
        <v>Plaques, feuilles, tubes et profilés en matières plastiques</v>
      </c>
    </row>
    <row r="19" spans="1:5">
      <c r="A19" s="135" t="s">
        <v>270</v>
      </c>
      <c r="B19" s="195" t="str">
        <f>HYPERLINK('DEPUIS JANVIER'!A23,'DEPUIS JANVIER'!C23)</f>
        <v>Canalisations, assainnissement et adduction d'eau avec fourniture de tuyaux avec fourniture de tuyaux multi-matériaux</v>
      </c>
      <c r="D19" s="144" t="s">
        <v>326</v>
      </c>
      <c r="E19" s="164" t="str">
        <f>HYPERLINK('DEPUIS JANVIER'!A61,'DEPUIS JANVIER'!C61)</f>
        <v>Ciment, chaux et plâtre</v>
      </c>
    </row>
    <row r="20" spans="1:5">
      <c r="A20" s="135" t="s">
        <v>34</v>
      </c>
      <c r="B20" s="195" t="str">
        <f>HYPERLINK('DEPUIS JANVIER'!A24,'DEPUIS JANVIER'!C24)</f>
        <v>Canalisations grandes distances de transport / transfert  avec fourniture de tuyaux</v>
      </c>
      <c r="D20" s="144" t="s">
        <v>327</v>
      </c>
      <c r="E20" s="164" t="str">
        <f>HYPERLINK('DEPUIS JANVIER'!A62,'DEPUIS JANVIER'!C62)</f>
        <v>Autres produits chimiques</v>
      </c>
    </row>
    <row r="21" spans="1:5">
      <c r="A21" s="135" t="s">
        <v>35</v>
      </c>
      <c r="B21" s="195" t="str">
        <f>HYPERLINK('DEPUIS JANVIER'!A25,'DEPUIS JANVIER'!C25)</f>
        <v>Réseaux d'énergie et de communication</v>
      </c>
      <c r="D21" s="144" t="s">
        <v>328</v>
      </c>
      <c r="E21" s="164" t="str">
        <f>HYPERLINK('DEPUIS JANVIER'!A63,'DEPUIS JANVIER'!C63)</f>
        <v>Acier pour la construction</v>
      </c>
    </row>
    <row r="22" spans="1:5">
      <c r="A22" s="135" t="s">
        <v>36</v>
      </c>
      <c r="B22" s="195" t="str">
        <f>HYPERLINK('DEPUIS JANVIER'!A26,'DEPUIS JANVIER'!C26)</f>
        <v>Éclairage public -Travaux d'installation</v>
      </c>
      <c r="D22" s="144" t="s">
        <v>329</v>
      </c>
      <c r="E22" s="164" t="str">
        <f>HYPERLINK('DEPUIS JANVIER'!A64,'DEPUIS JANVIER'!C64)</f>
        <v>Bitume</v>
      </c>
    </row>
    <row r="23" spans="1:5">
      <c r="A23" s="135" t="s">
        <v>37</v>
      </c>
      <c r="B23" s="195" t="str">
        <f>HYPERLINK('DEPUIS JANVIER'!A27,'DEPUIS JANVIER'!C27)</f>
        <v>Éclairage public - Travaux  de maintenance</v>
      </c>
      <c r="D23" s="144" t="s">
        <v>330</v>
      </c>
      <c r="E23" s="164" t="str">
        <f>HYPERLINK('DEPUIS JANVIER'!A65,'DEPUIS JANVIER'!C65)</f>
        <v>Produits de voierie en béton</v>
      </c>
    </row>
    <row r="24" spans="1:5">
      <c r="A24" s="135" t="s">
        <v>38</v>
      </c>
      <c r="B24" s="195" t="str">
        <f>HYPERLINK('DEPUIS JANVIER'!A28,'DEPUIS JANVIER'!C28)</f>
        <v>Réseaux de communication en fibre optique</v>
      </c>
      <c r="D24" s="144" t="s">
        <v>331</v>
      </c>
      <c r="E24" s="164" t="str">
        <f>HYPERLINK('DEPUIS JANVIER'!A66,'DEPUIS JANVIER'!C66)</f>
        <v>Mortiers et bétons secs</v>
      </c>
    </row>
    <row r="25" spans="1:5">
      <c r="A25" s="135" t="s">
        <v>271</v>
      </c>
      <c r="B25" s="195" t="str">
        <f>HYPERLINK('DEPUIS JANVIER'!A29,'DEPUIS JANVIER'!C29)</f>
        <v>Charpentes et ouvrages d'art métalliques</v>
      </c>
      <c r="D25" s="144" t="s">
        <v>332</v>
      </c>
      <c r="E25" s="164" t="str">
        <f>HYPERLINK('DEPUIS JANVIER'!A67,'DEPUIS JANVIER'!C67)</f>
        <v>Travaux de fonderie de fonte</v>
      </c>
    </row>
    <row r="26" spans="1:5">
      <c r="A26" s="135" t="s">
        <v>272</v>
      </c>
      <c r="B26" s="195" t="str">
        <f>HYPERLINK('DEPUIS JANVIER'!A30,'DEPUIS JANVIER'!C30)</f>
        <v>Charpentes et ouvrages d'art métalliques sans fourniture des aciers</v>
      </c>
      <c r="D26" s="144" t="s">
        <v>333</v>
      </c>
      <c r="E26" s="164" t="str">
        <f>HYPERLINK('DEPUIS JANVIER'!A68,'DEPUIS JANVIER'!C68)</f>
        <v>Tuiles, briques et produits de construction en terre cuite</v>
      </c>
    </row>
    <row r="27" spans="1:5">
      <c r="D27" s="144" t="s">
        <v>334</v>
      </c>
      <c r="E27" s="164" t="str">
        <f>HYPERLINK('DEPUIS JANVIER'!A69,'DEPUIS JANVIER'!C69)</f>
        <v>Réseaux d’assainissement</v>
      </c>
    </row>
    <row r="28" spans="1:5">
      <c r="D28" s="144" t="s">
        <v>335</v>
      </c>
      <c r="E28" s="164" t="str">
        <f>HYPERLINK('DEPUIS JANVIER'!A70,'DEPUIS JANVIER'!C70)</f>
        <v>Autres textiles</v>
      </c>
    </row>
    <row r="29" spans="1:5">
      <c r="D29" s="144" t="s">
        <v>336</v>
      </c>
      <c r="E29" s="164" t="str">
        <f>HYPERLINK('DEPUIS JANVIER'!A71,'DEPUIS JANVIER'!C71)</f>
        <v>Matières plastiques sous formes primaires</v>
      </c>
    </row>
    <row r="30" spans="1:5">
      <c r="D30" s="144" t="s">
        <v>337</v>
      </c>
      <c r="E30" s="164" t="str">
        <f>HYPERLINK('DEPUIS JANVIER'!A72,'DEPUIS JANVIER'!C72)</f>
        <v>Tubes, tuyaux, profilés creux et accessoires correspondants en acier</v>
      </c>
    </row>
    <row r="31" spans="1:5">
      <c r="D31" s="144" t="s">
        <v>338</v>
      </c>
      <c r="E31" s="164" t="str">
        <f>HYPERLINK('DEPUIS JANVIER'!A73,'DEPUIS JANVIER'!C73)</f>
        <v>Éléments en béton pour la construction</v>
      </c>
    </row>
    <row r="32" spans="1:5">
      <c r="D32" s="144" t="s">
        <v>339</v>
      </c>
      <c r="E32" s="164" t="str">
        <f>HYPERLINK('DEPUIS JANVIER'!A74,'DEPUIS JANVIER'!C74)</f>
        <v>Fils et câbles d'énergie</v>
      </c>
    </row>
    <row r="33" spans="4:5">
      <c r="D33" s="144" t="s">
        <v>340</v>
      </c>
      <c r="E33" s="164" t="str">
        <f>HYPERLINK('DEPUIS JANVIER'!A75,'DEPUIS JANVIER'!C75)</f>
        <v>Moteurs, génératrices, transfo. électr., matér. distrib., cmde électr.</v>
      </c>
    </row>
    <row r="34" spans="4:5">
      <c r="D34" s="144" t="s">
        <v>341</v>
      </c>
      <c r="E34" s="164" t="str">
        <f>HYPERLINK('DEPUIS JANVIER'!A76,'DEPUIS JANVIER'!C76)</f>
        <v>Matériel de distribution et de commande électrique</v>
      </c>
    </row>
    <row r="35" spans="4:5">
      <c r="D35" s="144" t="s">
        <v>342</v>
      </c>
      <c r="E35" s="164" t="str">
        <f>HYPERLINK('DEPUIS JANVIER'!A77,'DEPUIS JANVIER'!C77)</f>
        <v>Appareils d'éclairage électrique</v>
      </c>
    </row>
    <row r="36" spans="4:5">
      <c r="D36" s="144" t="s">
        <v>343</v>
      </c>
      <c r="E36" s="164" t="str">
        <f>HYPERLINK('DEPUIS JANVIER'!A78,'DEPUIS JANVIER'!C78)</f>
        <v>Câbles de fibres optiques</v>
      </c>
    </row>
    <row r="37" spans="4:5">
      <c r="D37" s="144" t="s">
        <v>344</v>
      </c>
      <c r="E37" s="164" t="str">
        <f>HYPERLINK('DEPUIS JANVIER'!A79,'DEPUIS JANVIER'!C79)</f>
        <v>Peintures Industries</v>
      </c>
    </row>
    <row r="38" spans="4:5">
      <c r="D38" s="144" t="s">
        <v>345</v>
      </c>
      <c r="E38" s="164" t="str">
        <f>HYPERLINK('DEPUIS JANVIER'!A80,'DEPUIS JANVIER'!C80)</f>
        <v>Produits sidérurgiques en acier non allié</v>
      </c>
    </row>
    <row r="39" spans="4:5">
      <c r="D39" s="144" t="s">
        <v>346</v>
      </c>
      <c r="E39" s="164" t="str">
        <f>HYPERLINK('DEPUIS JANVIER'!A81,'DEPUIS JANVIER'!C81)</f>
        <v>Tôles quarto et autres produits plats en aciers non alliés de qualité</v>
      </c>
    </row>
    <row r="40" spans="4:5">
      <c r="D40" s="144" t="s">
        <v>347</v>
      </c>
      <c r="E40" s="164" t="str">
        <f>HYPERLINK('DEPUIS JANVIER'!A82,'DEPUIS JANVIER'!C82)</f>
        <v>Traitement et élimination des déchets non dangereux</v>
      </c>
    </row>
    <row r="41" spans="4:5">
      <c r="D41" s="144" t="s">
        <v>348</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B85" activePane="bottomRight" state="frozen"/>
      <selection activeCell="B21" sqref="B21"/>
      <selection pane="topRight" activeCell="B21" sqref="B21"/>
      <selection pane="bottomLeft" activeCell="B21" sqref="B21"/>
      <selection pane="bottomRight" activeCell="O5" sqref="O5"/>
    </sheetView>
  </sheetViews>
  <sheetFormatPr baseColWidth="10" defaultRowHeight="15"/>
  <cols>
    <col min="5" max="5" width="21.42578125" style="21" bestFit="1" customWidth="1"/>
    <col min="11" max="11" width="13.140625" bestFit="1" customWidth="1"/>
    <col min="12" max="12" width="13.140625" customWidth="1"/>
  </cols>
  <sheetData>
    <row r="1" spans="1:56">
      <c r="A1" s="200"/>
      <c r="B1" s="198" t="s">
        <v>43</v>
      </c>
      <c r="C1" s="198" t="s">
        <v>44</v>
      </c>
      <c r="D1" s="198" t="s">
        <v>44</v>
      </c>
      <c r="E1" s="198"/>
      <c r="F1" s="200" t="s">
        <v>45</v>
      </c>
      <c r="G1" s="198" t="s">
        <v>43</v>
      </c>
      <c r="H1" s="198" t="s">
        <v>43</v>
      </c>
      <c r="I1" s="200"/>
      <c r="J1" s="198"/>
      <c r="K1" s="198" t="s">
        <v>46</v>
      </c>
      <c r="L1" s="198"/>
      <c r="M1" s="200"/>
      <c r="N1" s="200"/>
      <c r="O1" s="200"/>
      <c r="P1" s="200"/>
      <c r="Q1" s="200"/>
      <c r="R1" s="200"/>
      <c r="S1" s="200"/>
      <c r="T1" s="200" t="s">
        <v>45</v>
      </c>
      <c r="U1" s="200" t="s">
        <v>45</v>
      </c>
      <c r="V1" s="200" t="s">
        <v>45</v>
      </c>
      <c r="W1" s="200" t="s">
        <v>45</v>
      </c>
      <c r="X1" s="200" t="s">
        <v>45</v>
      </c>
      <c r="Y1" s="200" t="s">
        <v>45</v>
      </c>
      <c r="Z1" s="200"/>
      <c r="AA1" s="200" t="s">
        <v>45</v>
      </c>
      <c r="AB1" s="200" t="s">
        <v>45</v>
      </c>
      <c r="AC1" s="200" t="s">
        <v>45</v>
      </c>
      <c r="AD1" s="200" t="s">
        <v>45</v>
      </c>
      <c r="AE1" s="200" t="s">
        <v>45</v>
      </c>
      <c r="AF1" s="200" t="s">
        <v>45</v>
      </c>
      <c r="AG1" s="200"/>
      <c r="AH1" s="200"/>
      <c r="AI1" s="200"/>
      <c r="AJ1" s="200"/>
      <c r="AK1" s="200"/>
      <c r="AL1" s="200"/>
      <c r="AM1" s="200"/>
      <c r="AN1" s="200"/>
    </row>
    <row r="2" spans="1:56" ht="30">
      <c r="A2" s="200"/>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0"/>
      <c r="B3" s="32" t="s">
        <v>47</v>
      </c>
      <c r="C3" s="32" t="s">
        <v>48</v>
      </c>
      <c r="D3" s="32" t="s">
        <v>355</v>
      </c>
      <c r="E3" s="32" t="s">
        <v>317</v>
      </c>
      <c r="F3" s="32" t="s">
        <v>358</v>
      </c>
      <c r="G3" s="32" t="s">
        <v>51</v>
      </c>
      <c r="H3" s="32" t="s">
        <v>52</v>
      </c>
      <c r="I3" s="187">
        <v>10764291</v>
      </c>
      <c r="J3" s="187">
        <v>10764297</v>
      </c>
      <c r="K3" s="32" t="s">
        <v>55</v>
      </c>
      <c r="L3" s="32">
        <v>10763845</v>
      </c>
      <c r="M3" s="187" t="s">
        <v>283</v>
      </c>
      <c r="N3" s="187">
        <v>10764180</v>
      </c>
      <c r="O3" s="187">
        <v>10766236</v>
      </c>
      <c r="P3" s="187">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c r="D4" s="34" t="s">
        <v>354</v>
      </c>
      <c r="E4" s="34" t="s">
        <v>279</v>
      </c>
      <c r="F4" s="222" t="s">
        <v>357</v>
      </c>
      <c r="G4" s="34" t="s">
        <v>87</v>
      </c>
      <c r="H4" s="34" t="s">
        <v>88</v>
      </c>
      <c r="I4" s="34" t="s">
        <v>280</v>
      </c>
      <c r="J4" s="159" t="s">
        <v>281</v>
      </c>
      <c r="K4" s="34" t="s">
        <v>90</v>
      </c>
      <c r="L4" s="34" t="s">
        <v>282</v>
      </c>
      <c r="M4" s="34" t="s">
        <v>284</v>
      </c>
      <c r="N4" s="34" t="s">
        <v>285</v>
      </c>
      <c r="O4" s="34" t="s">
        <v>286</v>
      </c>
      <c r="P4" s="34" t="s">
        <v>287</v>
      </c>
      <c r="Q4" s="34" t="s">
        <v>288</v>
      </c>
      <c r="R4" s="34" t="s">
        <v>289</v>
      </c>
      <c r="S4" s="34" t="s">
        <v>290</v>
      </c>
      <c r="T4" s="34" t="s">
        <v>291</v>
      </c>
      <c r="U4" s="34" t="s">
        <v>292</v>
      </c>
      <c r="V4" s="34" t="s">
        <v>293</v>
      </c>
      <c r="W4" s="34" t="s">
        <v>294</v>
      </c>
      <c r="X4" s="34" t="s">
        <v>295</v>
      </c>
      <c r="Y4" s="34" t="s">
        <v>296</v>
      </c>
      <c r="Z4" s="159" t="s">
        <v>297</v>
      </c>
      <c r="AA4" s="34" t="s">
        <v>298</v>
      </c>
      <c r="AB4" s="34" t="s">
        <v>299</v>
      </c>
      <c r="AC4" s="34" t="s">
        <v>300</v>
      </c>
      <c r="AD4" s="159" t="s">
        <v>301</v>
      </c>
      <c r="AE4" s="34" t="s">
        <v>302</v>
      </c>
      <c r="AF4" s="34" t="s">
        <v>303</v>
      </c>
      <c r="AG4" s="34" t="s">
        <v>304</v>
      </c>
      <c r="AH4" s="34" t="s">
        <v>318</v>
      </c>
      <c r="AI4" s="34" t="s">
        <v>305</v>
      </c>
      <c r="AJ4" s="34" t="s">
        <v>306</v>
      </c>
      <c r="AK4" s="34" t="s">
        <v>307</v>
      </c>
      <c r="AL4" s="34" t="s">
        <v>308</v>
      </c>
      <c r="AM4" s="34" t="s">
        <v>309</v>
      </c>
      <c r="AN4" s="34" t="s">
        <v>310</v>
      </c>
    </row>
    <row r="5" spans="1:56" s="21" customFormat="1" ht="135">
      <c r="A5" s="200"/>
      <c r="B5" s="186" t="s">
        <v>115</v>
      </c>
      <c r="C5" s="186" t="s">
        <v>116</v>
      </c>
      <c r="D5" s="186" t="s">
        <v>117</v>
      </c>
      <c r="E5" s="28" t="s">
        <v>316</v>
      </c>
      <c r="F5" s="186" t="s">
        <v>118</v>
      </c>
      <c r="G5" s="186" t="s">
        <v>119</v>
      </c>
      <c r="H5" s="186" t="s">
        <v>120</v>
      </c>
      <c r="I5" s="28" t="s">
        <v>121</v>
      </c>
      <c r="J5" s="28" t="s">
        <v>263</v>
      </c>
      <c r="K5" s="200"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266</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199">
        <v>115.91319221955121</v>
      </c>
      <c r="F6">
        <v>77.72</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199">
        <v>112.19462051681585</v>
      </c>
      <c r="F7">
        <v>79.58</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199">
        <v>111.78477715419734</v>
      </c>
      <c r="F8">
        <v>79.92</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1"/>
      <c r="AS8" s="201"/>
      <c r="AT8" s="201"/>
      <c r="AU8" s="201"/>
      <c r="AV8" s="201"/>
      <c r="AW8" s="201"/>
      <c r="AX8" s="201"/>
      <c r="AY8" s="201"/>
      <c r="AZ8" s="201"/>
      <c r="BA8" s="201"/>
      <c r="BB8" s="201"/>
      <c r="BC8" s="201"/>
      <c r="BD8" s="201"/>
    </row>
    <row r="9" spans="1:56">
      <c r="A9" s="1">
        <f t="shared" si="0"/>
        <v>43101</v>
      </c>
      <c r="B9">
        <v>104.1</v>
      </c>
      <c r="C9">
        <v>117.8</v>
      </c>
      <c r="D9">
        <v>115.1</v>
      </c>
      <c r="E9" s="199">
        <v>102.68819713409906</v>
      </c>
      <c r="F9">
        <v>86.75</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199">
        <v>105.33935540778492</v>
      </c>
      <c r="F10">
        <v>86.18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199">
        <v>104.26263286528626</v>
      </c>
      <c r="F11">
        <v>85.69</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199">
        <v>99.677793960786715</v>
      </c>
      <c r="F12">
        <v>87.57</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199">
        <v>96.60957457288562</v>
      </c>
      <c r="F13">
        <v>90.81</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199">
        <v>97.6111092375168</v>
      </c>
      <c r="F14">
        <v>91.66</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199">
        <v>97.6111092375168</v>
      </c>
      <c r="F15">
        <v>90.63</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199">
        <v>96.838869449245308</v>
      </c>
      <c r="F16">
        <v>90.8</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199">
        <v>95.108260282708713</v>
      </c>
      <c r="F17">
        <v>92.45</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199">
        <v>92.171935981811814</v>
      </c>
      <c r="F18">
        <v>95.34</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199">
        <v>97.300740050752083</v>
      </c>
      <c r="F19">
        <v>92.8</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199">
        <v>103.64464943594083</v>
      </c>
      <c r="F20">
        <v>89.01</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87.53</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89.92</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91.46</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91.96</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92.83</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89.28</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88.98</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88.42</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89.8</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90.14</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90.18</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91.52</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92.12</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87.61</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81.42</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76.16</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73.069999999999993</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75.540000000000006</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77.45</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77.11</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75.31</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75.069999999999993</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75.66</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78.48</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80.569999999999993</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83.45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85.87</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85.2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86.16</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87.65</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89.38</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88.84</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89.86</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2">
        <v>122.6</v>
      </c>
      <c r="D54">
        <f>D53</f>
        <v>123.1</v>
      </c>
      <c r="E54" s="21">
        <v>113.9</v>
      </c>
      <c r="F54">
        <v>95.65</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96.6</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94.71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99.8</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105.37</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123.67</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114.52</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116.46</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128.15</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122.75</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114.8</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3">
        <v>125.9</v>
      </c>
      <c r="D65" s="168">
        <v>126.5</v>
      </c>
      <c r="E65" s="21">
        <v>137.4</v>
      </c>
      <c r="F65" s="168">
        <v>107.02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3">
        <v>126.6</v>
      </c>
      <c r="D66">
        <v>126.9</v>
      </c>
      <c r="E66" s="21">
        <v>163.5</v>
      </c>
      <c r="F66" s="168">
        <v>114.98</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3">
        <v>127.2</v>
      </c>
      <c r="D67">
        <v>127.2</v>
      </c>
      <c r="E67" s="21">
        <v>152.1</v>
      </c>
      <c r="F67" s="168">
        <v>115.24</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3">
        <v>127.9</v>
      </c>
      <c r="D68">
        <v>127.6</v>
      </c>
      <c r="E68" s="21">
        <v>140.4</v>
      </c>
      <c r="F68" s="168">
        <v>109.25</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5" customFormat="1">
      <c r="A69" s="204">
        <f t="shared" si="0"/>
        <v>44927</v>
      </c>
      <c r="B69">
        <v>119.3</v>
      </c>
      <c r="C69" s="42">
        <v>128.6</v>
      </c>
      <c r="D69">
        <v>127.8</v>
      </c>
      <c r="E69" s="21">
        <v>150.5</v>
      </c>
      <c r="F69" s="168">
        <v>117.23</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113.65</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112.8</v>
      </c>
      <c r="G71" s="168">
        <v>116.3</v>
      </c>
      <c r="H71" s="168">
        <v>118</v>
      </c>
      <c r="I71">
        <v>251.0348186023862</v>
      </c>
      <c r="J71" s="29">
        <v>121.69936568815459</v>
      </c>
      <c r="K71" s="206">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7"/>
    </row>
    <row r="72" spans="1:41">
      <c r="A72" s="1">
        <f t="shared" ref="A72:A106" si="1">EDATE(A71,1)</f>
        <v>45017</v>
      </c>
      <c r="B72">
        <v>122.6</v>
      </c>
      <c r="C72" s="29">
        <v>130.4</v>
      </c>
      <c r="D72" s="208">
        <v>128.6</v>
      </c>
      <c r="E72" s="21">
        <v>130.80000000000001</v>
      </c>
      <c r="F72" s="168">
        <v>110.37</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6">
        <v>122.2</v>
      </c>
      <c r="C73" s="29">
        <v>130.9</v>
      </c>
      <c r="D73" s="208">
        <v>128.9</v>
      </c>
      <c r="E73" s="21">
        <v>122.4</v>
      </c>
      <c r="F73" s="168">
        <v>103.16</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6">
        <v>122.3</v>
      </c>
      <c r="C74" s="29">
        <v>131.4</v>
      </c>
      <c r="D74" s="217">
        <v>129.19999999999999</v>
      </c>
      <c r="E74" s="21">
        <v>124.3</v>
      </c>
      <c r="F74" s="168">
        <v>104.01</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09">
        <v>122.9</v>
      </c>
      <c r="C75" s="29">
        <v>131.5</v>
      </c>
      <c r="D75" s="217">
        <v>129.5</v>
      </c>
      <c r="E75" s="21">
        <v>129.1</v>
      </c>
      <c r="F75" s="168">
        <v>104.89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17">
        <v>129.80000000000001</v>
      </c>
      <c r="E76" s="21">
        <v>143.19999999999999</v>
      </c>
      <c r="F76" s="168">
        <v>113.24</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17">
        <v>130.1</v>
      </c>
      <c r="E77" s="21">
        <v>151.1</v>
      </c>
      <c r="F77" s="168">
        <v>117.87</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7">
        <v>130.4</v>
      </c>
      <c r="E78" s="21">
        <v>146.5</v>
      </c>
      <c r="F78" s="168">
        <v>116.59</v>
      </c>
      <c r="G78" s="208">
        <v>118.1</v>
      </c>
      <c r="H78" s="208">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8">
        <v>115.1</v>
      </c>
      <c r="AF78">
        <v>113.9</v>
      </c>
      <c r="AG78">
        <v>113.9</v>
      </c>
      <c r="AH78">
        <v>110.1</v>
      </c>
      <c r="AI78">
        <v>103.2</v>
      </c>
      <c r="AJ78">
        <v>135.1</v>
      </c>
      <c r="AK78">
        <v>99.9</v>
      </c>
      <c r="AL78">
        <v>86.6</v>
      </c>
      <c r="AM78">
        <v>111.5</v>
      </c>
      <c r="AN78">
        <v>104.2</v>
      </c>
    </row>
    <row r="79" spans="1:41">
      <c r="A79" s="1">
        <f t="shared" si="1"/>
        <v>45231</v>
      </c>
      <c r="B79">
        <v>123</v>
      </c>
      <c r="C79" s="29">
        <v>132.1</v>
      </c>
      <c r="D79" s="217">
        <v>130.69999999999999</v>
      </c>
      <c r="E79" s="21">
        <v>139.4</v>
      </c>
      <c r="F79" s="168">
        <v>112.25</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8">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7">
        <v>130.9</v>
      </c>
      <c r="E80" s="21">
        <v>132</v>
      </c>
      <c r="F80">
        <v>108.29</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8">
        <v>116.1</v>
      </c>
      <c r="AF80">
        <v>116.1</v>
      </c>
      <c r="AG80">
        <v>117.6</v>
      </c>
      <c r="AH80">
        <v>107.8</v>
      </c>
      <c r="AI80">
        <v>101.8</v>
      </c>
      <c r="AJ80">
        <v>138.69999999999999</v>
      </c>
      <c r="AK80">
        <v>99.6</v>
      </c>
      <c r="AL80">
        <v>88.3</v>
      </c>
      <c r="AM80">
        <v>111.1</v>
      </c>
      <c r="AN80">
        <v>104.4</v>
      </c>
    </row>
    <row r="81" spans="1:40">
      <c r="A81" s="1">
        <f t="shared" si="1"/>
        <v>45292</v>
      </c>
      <c r="B81">
        <v>124</v>
      </c>
      <c r="C81" s="202">
        <v>132.5</v>
      </c>
      <c r="D81" s="217">
        <v>131.19999999999999</v>
      </c>
      <c r="E81" s="21">
        <v>146.30000000000001</v>
      </c>
      <c r="F81" s="168">
        <v>106.91</v>
      </c>
      <c r="G81" s="168">
        <v>116.8</v>
      </c>
      <c r="H81" s="168">
        <v>124</v>
      </c>
      <c r="I81">
        <v>209.3</v>
      </c>
      <c r="J81">
        <v>82.3</v>
      </c>
      <c r="K81" s="38">
        <v>148.45206610165278</v>
      </c>
      <c r="L81">
        <v>110</v>
      </c>
      <c r="M81" s="211">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8">
        <v>118.6</v>
      </c>
      <c r="AF81">
        <v>115.9</v>
      </c>
      <c r="AG81">
        <v>117.1</v>
      </c>
      <c r="AH81">
        <v>106.4</v>
      </c>
      <c r="AI81">
        <v>100.4</v>
      </c>
      <c r="AJ81">
        <v>140.19999999999999</v>
      </c>
      <c r="AK81">
        <v>97.9</v>
      </c>
      <c r="AL81">
        <v>88.5</v>
      </c>
      <c r="AM81">
        <v>115.2</v>
      </c>
      <c r="AN81">
        <v>107.3</v>
      </c>
    </row>
    <row r="82" spans="1:40">
      <c r="A82" s="1">
        <f t="shared" si="1"/>
        <v>45323</v>
      </c>
      <c r="B82">
        <v>124.1</v>
      </c>
      <c r="C82" s="202">
        <v>132.69999999999999</v>
      </c>
      <c r="D82" s="217">
        <v>131.4</v>
      </c>
      <c r="E82" s="21">
        <v>152.9</v>
      </c>
      <c r="F82" s="168">
        <v>111.34</v>
      </c>
      <c r="G82" s="208">
        <v>117.8</v>
      </c>
      <c r="H82" s="168">
        <v>124</v>
      </c>
      <c r="I82" s="211">
        <v>193</v>
      </c>
      <c r="J82" s="211">
        <v>68.900000000000006</v>
      </c>
      <c r="K82" s="38">
        <v>159.28371315062699</v>
      </c>
      <c r="L82" s="211">
        <v>107.7</v>
      </c>
      <c r="M82" s="211">
        <v>106.9</v>
      </c>
      <c r="N82" s="211">
        <v>130.4</v>
      </c>
      <c r="O82" s="211">
        <v>91.2</v>
      </c>
      <c r="P82" s="211">
        <v>118.2</v>
      </c>
      <c r="Q82" s="211">
        <v>107.2</v>
      </c>
      <c r="R82" s="211">
        <v>144.5</v>
      </c>
      <c r="S82" s="211">
        <v>108.4</v>
      </c>
      <c r="T82" s="211">
        <v>95.4</v>
      </c>
      <c r="U82" s="211">
        <v>112.4</v>
      </c>
      <c r="V82" s="211">
        <v>124.4</v>
      </c>
      <c r="W82" s="211">
        <v>116.7</v>
      </c>
      <c r="X82" s="211">
        <v>129.1</v>
      </c>
      <c r="Y82" s="211">
        <v>138.6</v>
      </c>
      <c r="Z82" s="211">
        <v>126.6</v>
      </c>
      <c r="AA82" s="211">
        <v>112.5</v>
      </c>
      <c r="AB82">
        <v>93.5</v>
      </c>
      <c r="AC82">
        <v>125.1</v>
      </c>
      <c r="AD82" s="211">
        <v>122.2</v>
      </c>
      <c r="AE82" s="208">
        <v>116.3</v>
      </c>
      <c r="AF82" s="211">
        <v>118.7</v>
      </c>
      <c r="AG82" s="211">
        <v>121.8</v>
      </c>
      <c r="AH82" s="211">
        <v>108.7</v>
      </c>
      <c r="AI82" s="211">
        <v>100.2</v>
      </c>
      <c r="AJ82" s="211">
        <v>137.5</v>
      </c>
      <c r="AK82" s="211">
        <v>98.8</v>
      </c>
      <c r="AL82" s="211">
        <v>88.2</v>
      </c>
      <c r="AM82">
        <v>115.9</v>
      </c>
      <c r="AN82" s="211">
        <v>107.9</v>
      </c>
    </row>
    <row r="83" spans="1:40">
      <c r="A83" s="1">
        <f t="shared" si="1"/>
        <v>45352</v>
      </c>
      <c r="B83">
        <v>124.5</v>
      </c>
      <c r="C83" s="202">
        <v>132.9</v>
      </c>
      <c r="D83" s="217">
        <v>131.69999999999999</v>
      </c>
      <c r="E83" s="188">
        <v>149.80000000000001</v>
      </c>
      <c r="F83" s="38">
        <v>109.98</v>
      </c>
      <c r="G83">
        <v>117.4</v>
      </c>
      <c r="H83">
        <v>124</v>
      </c>
      <c r="I83">
        <v>185.9</v>
      </c>
      <c r="J83" s="211">
        <v>63.2</v>
      </c>
      <c r="K83" s="38">
        <v>155.41906657668858</v>
      </c>
      <c r="L83" s="211">
        <v>105.2</v>
      </c>
      <c r="M83" s="211">
        <v>106.9</v>
      </c>
      <c r="N83" s="211">
        <v>129.4</v>
      </c>
      <c r="O83" s="211">
        <v>90.7</v>
      </c>
      <c r="P83" s="211">
        <v>117.7</v>
      </c>
      <c r="Q83" s="211">
        <v>105.6</v>
      </c>
      <c r="R83" s="211">
        <v>144</v>
      </c>
      <c r="S83" s="211">
        <v>107.8</v>
      </c>
      <c r="T83" s="211">
        <v>95.1</v>
      </c>
      <c r="U83" s="211">
        <v>120.2</v>
      </c>
      <c r="V83" s="211">
        <v>129.19999999999999</v>
      </c>
      <c r="W83" s="211">
        <v>116.7</v>
      </c>
      <c r="X83" s="211">
        <v>126.9</v>
      </c>
      <c r="Y83" s="211">
        <v>138.4</v>
      </c>
      <c r="Z83" s="211">
        <v>130.4</v>
      </c>
      <c r="AA83">
        <v>113.1</v>
      </c>
      <c r="AB83">
        <v>96.2</v>
      </c>
      <c r="AC83">
        <v>124.8</v>
      </c>
      <c r="AD83">
        <v>122.2</v>
      </c>
      <c r="AE83" s="208">
        <v>119</v>
      </c>
      <c r="AF83" s="211">
        <v>117.1</v>
      </c>
      <c r="AG83" s="211">
        <v>119.6</v>
      </c>
      <c r="AH83" s="211">
        <v>108.3</v>
      </c>
      <c r="AI83" s="211">
        <v>99.9</v>
      </c>
      <c r="AJ83" s="211">
        <v>137.30000000000001</v>
      </c>
      <c r="AK83" s="211">
        <v>97.7</v>
      </c>
      <c r="AL83" s="211">
        <v>89.2</v>
      </c>
      <c r="AM83">
        <v>115.6</v>
      </c>
      <c r="AN83" s="211">
        <v>109.9</v>
      </c>
    </row>
    <row r="84" spans="1:40">
      <c r="A84" s="1">
        <f t="shared" si="1"/>
        <v>45383</v>
      </c>
      <c r="B84" s="208">
        <v>125</v>
      </c>
      <c r="C84" s="202">
        <v>133.30000000000001</v>
      </c>
      <c r="D84" s="217">
        <v>132</v>
      </c>
      <c r="E84" s="188">
        <v>147.9</v>
      </c>
      <c r="F84" s="38">
        <v>109.42</v>
      </c>
      <c r="G84">
        <v>118.2</v>
      </c>
      <c r="H84">
        <v>123.4</v>
      </c>
      <c r="I84">
        <v>165.3</v>
      </c>
      <c r="J84" s="211">
        <v>66.7</v>
      </c>
      <c r="K84" s="38">
        <v>154.33767464544894</v>
      </c>
      <c r="L84" s="211">
        <v>103.9</v>
      </c>
      <c r="M84" s="211">
        <v>107.7</v>
      </c>
      <c r="N84" s="211">
        <v>129.69999999999999</v>
      </c>
      <c r="O84" s="211">
        <v>89.2</v>
      </c>
      <c r="P84" s="211">
        <v>118.6</v>
      </c>
      <c r="Q84" s="211">
        <v>106.8</v>
      </c>
      <c r="R84" s="211">
        <v>143.9</v>
      </c>
      <c r="S84" s="211">
        <v>109.9</v>
      </c>
      <c r="T84" s="211">
        <v>91.9</v>
      </c>
      <c r="U84" s="211">
        <v>126.2</v>
      </c>
      <c r="V84" s="211">
        <v>128.1</v>
      </c>
      <c r="W84" s="211">
        <v>115.9</v>
      </c>
      <c r="X84" s="211">
        <v>127.6</v>
      </c>
      <c r="Y84" s="211">
        <v>137.30000000000001</v>
      </c>
      <c r="Z84" s="211">
        <v>130</v>
      </c>
      <c r="AA84">
        <v>113</v>
      </c>
      <c r="AB84">
        <v>98.8</v>
      </c>
      <c r="AC84">
        <v>122.3</v>
      </c>
      <c r="AD84">
        <v>121.5</v>
      </c>
      <c r="AE84" s="208">
        <v>122.9</v>
      </c>
      <c r="AF84" s="211">
        <v>114</v>
      </c>
      <c r="AG84" s="211">
        <v>115.6</v>
      </c>
      <c r="AH84" s="211">
        <v>105.7</v>
      </c>
      <c r="AI84" s="211">
        <v>100</v>
      </c>
      <c r="AJ84" s="211">
        <v>137.19999999999999</v>
      </c>
      <c r="AK84" s="211">
        <v>97</v>
      </c>
      <c r="AL84" s="211">
        <v>90</v>
      </c>
      <c r="AM84">
        <v>115.6</v>
      </c>
      <c r="AN84" s="211">
        <v>109.7</v>
      </c>
    </row>
    <row r="85" spans="1:40">
      <c r="A85" s="1">
        <f t="shared" si="1"/>
        <v>45413</v>
      </c>
      <c r="B85" s="208">
        <v>124.9</v>
      </c>
      <c r="C85" s="202">
        <v>133.69999999999999</v>
      </c>
      <c r="D85" s="217">
        <v>132.30000000000001</v>
      </c>
      <c r="E85" s="188">
        <v>141.19999999999999</v>
      </c>
      <c r="F85" s="206">
        <v>105.67</v>
      </c>
      <c r="G85">
        <v>118.3</v>
      </c>
      <c r="H85">
        <v>123.4</v>
      </c>
      <c r="I85">
        <v>125.8</v>
      </c>
      <c r="J85" s="206">
        <v>72.3</v>
      </c>
      <c r="K85" s="38">
        <v>144.88879104953529</v>
      </c>
      <c r="L85" s="206">
        <v>104.1</v>
      </c>
      <c r="M85" s="211">
        <v>107.7</v>
      </c>
      <c r="N85" s="206">
        <v>129</v>
      </c>
      <c r="O85" s="206">
        <v>89</v>
      </c>
      <c r="P85" s="206">
        <v>115.2</v>
      </c>
      <c r="Q85" s="206">
        <v>107.7</v>
      </c>
      <c r="R85" s="206">
        <v>143.6</v>
      </c>
      <c r="S85" s="206">
        <v>107.8</v>
      </c>
      <c r="T85" s="206">
        <v>92.7</v>
      </c>
      <c r="U85" s="206">
        <v>132.80000000000001</v>
      </c>
      <c r="V85" s="206">
        <v>130.80000000000001</v>
      </c>
      <c r="W85" s="206">
        <v>114.8</v>
      </c>
      <c r="X85" s="206">
        <v>128.80000000000001</v>
      </c>
      <c r="Y85" s="206">
        <v>139.6</v>
      </c>
      <c r="Z85">
        <v>129.80000000000001</v>
      </c>
      <c r="AA85">
        <v>113.5</v>
      </c>
      <c r="AB85">
        <v>98</v>
      </c>
      <c r="AC85">
        <v>124.8</v>
      </c>
      <c r="AD85">
        <v>122</v>
      </c>
      <c r="AE85">
        <v>124.7</v>
      </c>
      <c r="AF85" s="211">
        <v>117.5</v>
      </c>
      <c r="AG85" s="206">
        <v>120.7</v>
      </c>
      <c r="AH85" s="206">
        <v>107.4</v>
      </c>
      <c r="AI85" s="206">
        <v>98.4</v>
      </c>
      <c r="AJ85" s="213">
        <v>137.19999999999999</v>
      </c>
      <c r="AK85" s="209">
        <v>97</v>
      </c>
      <c r="AL85" s="209">
        <v>90</v>
      </c>
      <c r="AM85" s="214">
        <v>115.9</v>
      </c>
      <c r="AN85" s="209">
        <v>112</v>
      </c>
    </row>
    <row r="86" spans="1:40">
      <c r="A86" s="1">
        <f t="shared" si="1"/>
        <v>45444</v>
      </c>
      <c r="B86" s="208">
        <v>125</v>
      </c>
      <c r="C86" s="202">
        <v>134</v>
      </c>
      <c r="D86" s="217">
        <v>132.6</v>
      </c>
      <c r="E86" s="188">
        <v>142.19999999999999</v>
      </c>
      <c r="F86" s="38">
        <v>104.4</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1">
        <v>115</v>
      </c>
      <c r="AG86" s="211">
        <v>117.4</v>
      </c>
      <c r="AH86" s="211">
        <v>107</v>
      </c>
      <c r="AI86" s="211">
        <v>98.6</v>
      </c>
      <c r="AJ86" s="213">
        <v>133.1</v>
      </c>
      <c r="AK86" s="213">
        <v>96.9</v>
      </c>
      <c r="AL86" s="213">
        <v>86.6</v>
      </c>
      <c r="AM86" s="213">
        <v>115.3</v>
      </c>
      <c r="AN86" s="213">
        <v>113.2</v>
      </c>
    </row>
    <row r="87" spans="1:40">
      <c r="A87" s="1">
        <f t="shared" si="1"/>
        <v>45474</v>
      </c>
      <c r="B87" s="208">
        <v>125</v>
      </c>
      <c r="C87" s="202">
        <v>134.6</v>
      </c>
      <c r="D87" s="217">
        <v>132.9</v>
      </c>
      <c r="E87" s="188">
        <v>140</v>
      </c>
      <c r="F87" s="38">
        <v>105.53</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3">
        <v>117.2</v>
      </c>
      <c r="AG87" s="213">
        <v>120.3</v>
      </c>
      <c r="AH87" s="213">
        <v>104.4</v>
      </c>
      <c r="AI87" s="213">
        <v>97.2</v>
      </c>
      <c r="AJ87" s="213">
        <v>136.9</v>
      </c>
      <c r="AK87" s="213">
        <v>96.2</v>
      </c>
      <c r="AL87" s="213">
        <v>85.2</v>
      </c>
      <c r="AM87" s="213">
        <v>114.8</v>
      </c>
      <c r="AN87" s="213">
        <v>112.1</v>
      </c>
    </row>
    <row r="88" spans="1:40">
      <c r="A88" s="1">
        <f t="shared" si="1"/>
        <v>45505</v>
      </c>
      <c r="B88" s="208">
        <v>125.4</v>
      </c>
      <c r="C88" s="202">
        <v>135.1</v>
      </c>
      <c r="D88" s="217">
        <v>133.19999999999999</v>
      </c>
      <c r="E88" s="188">
        <v>131.69999999999999</v>
      </c>
      <c r="F88" s="38">
        <v>101.84</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3">
        <v>114.9</v>
      </c>
      <c r="AG88" s="213">
        <v>116.8</v>
      </c>
      <c r="AH88" s="213">
        <v>106.7</v>
      </c>
      <c r="AI88" s="213">
        <v>97.4</v>
      </c>
      <c r="AJ88" s="213">
        <v>136.69999999999999</v>
      </c>
      <c r="AK88" s="213">
        <v>94.5</v>
      </c>
      <c r="AL88" s="213">
        <v>86.7</v>
      </c>
      <c r="AM88" s="213">
        <v>115.3</v>
      </c>
      <c r="AN88" s="213">
        <v>112</v>
      </c>
    </row>
    <row r="89" spans="1:40">
      <c r="A89" s="1">
        <f t="shared" si="1"/>
        <v>45536</v>
      </c>
      <c r="B89" s="208">
        <v>125.3</v>
      </c>
      <c r="C89" s="202">
        <v>135.69999999999999</v>
      </c>
      <c r="D89" s="217">
        <v>133.6</v>
      </c>
      <c r="E89" s="21">
        <v>129.1</v>
      </c>
      <c r="F89" s="38">
        <v>98.38</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3">
        <v>120.4</v>
      </c>
      <c r="AG89" s="213">
        <v>125.9</v>
      </c>
      <c r="AH89" s="213">
        <v>108</v>
      </c>
      <c r="AI89" s="213">
        <v>96.9</v>
      </c>
      <c r="AJ89" s="213">
        <v>133.69999999999999</v>
      </c>
      <c r="AK89" s="213">
        <v>95.4</v>
      </c>
      <c r="AL89" s="213">
        <v>84.1</v>
      </c>
      <c r="AM89" s="213">
        <v>115.1</v>
      </c>
      <c r="AN89" s="213">
        <v>111.7</v>
      </c>
    </row>
    <row r="90" spans="1:40">
      <c r="A90" s="1">
        <f t="shared" si="1"/>
        <v>45566</v>
      </c>
      <c r="B90" s="208">
        <v>125</v>
      </c>
      <c r="C90" s="42">
        <v>136.1</v>
      </c>
      <c r="D90" s="217">
        <v>133.80000000000001</v>
      </c>
      <c r="E90" s="21">
        <v>132.19999999999999</v>
      </c>
      <c r="F90">
        <v>99.27</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4">
        <v>117.7</v>
      </c>
      <c r="AG90" s="214">
        <v>120.7</v>
      </c>
      <c r="AH90" s="214">
        <v>107</v>
      </c>
      <c r="AI90" s="214">
        <v>87.5</v>
      </c>
      <c r="AJ90" s="214">
        <v>138</v>
      </c>
      <c r="AK90" s="214">
        <v>94.6</v>
      </c>
      <c r="AL90" s="214">
        <v>85.3</v>
      </c>
      <c r="AM90" s="214">
        <v>115.2</v>
      </c>
      <c r="AN90" s="214">
        <v>108.8</v>
      </c>
    </row>
    <row r="91" spans="1:40">
      <c r="A91" s="1">
        <f t="shared" si="1"/>
        <v>45597</v>
      </c>
      <c r="B91">
        <v>124.8</v>
      </c>
      <c r="C91" s="42">
        <v>136.5</v>
      </c>
      <c r="D91" s="217">
        <v>134.1</v>
      </c>
      <c r="E91" s="21">
        <v>133.80000000000001</v>
      </c>
      <c r="F91">
        <v>100.25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4">
        <v>119.9</v>
      </c>
      <c r="AG91" s="214">
        <v>124.3</v>
      </c>
      <c r="AH91">
        <v>106.1</v>
      </c>
      <c r="AI91">
        <v>88.7</v>
      </c>
      <c r="AJ91">
        <v>135.69999999999999</v>
      </c>
      <c r="AK91">
        <v>94.2</v>
      </c>
      <c r="AL91">
        <v>83.3</v>
      </c>
      <c r="AM91">
        <v>115.2</v>
      </c>
      <c r="AN91">
        <v>108.8</v>
      </c>
    </row>
    <row r="92" spans="1:40">
      <c r="A92" s="1">
        <f t="shared" si="1"/>
        <v>45627</v>
      </c>
      <c r="B92">
        <v>124.9</v>
      </c>
      <c r="C92" s="203">
        <v>136.9</v>
      </c>
      <c r="D92" s="217">
        <v>134.30000000000001</v>
      </c>
      <c r="E92" s="21">
        <v>135.5</v>
      </c>
      <c r="F92">
        <v>101.49</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4">
        <v>120.6</v>
      </c>
      <c r="AG92">
        <v>124.4</v>
      </c>
      <c r="AH92">
        <v>105.8</v>
      </c>
      <c r="AI92">
        <v>89.8</v>
      </c>
      <c r="AJ92">
        <v>136.9</v>
      </c>
      <c r="AK92">
        <v>94.2</v>
      </c>
      <c r="AL92">
        <v>83.4</v>
      </c>
      <c r="AM92">
        <v>115.6</v>
      </c>
      <c r="AN92">
        <v>107.4</v>
      </c>
    </row>
    <row r="93" spans="1:40">
      <c r="A93" s="1">
        <f t="shared" si="1"/>
        <v>45658</v>
      </c>
      <c r="B93">
        <v>124.3</v>
      </c>
      <c r="C93" s="203">
        <v>137.19999999999999</v>
      </c>
      <c r="D93" s="217">
        <v>134.6</v>
      </c>
      <c r="E93" s="21">
        <v>157.1</v>
      </c>
      <c r="F93">
        <v>104.75</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3">
        <v>137.4</v>
      </c>
      <c r="D94" s="217">
        <v>134.9</v>
      </c>
      <c r="E94" s="21">
        <v>155.6</v>
      </c>
      <c r="F94">
        <v>104.6</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3">
        <v>137.6</v>
      </c>
      <c r="D95" s="217">
        <v>135.19999999999999</v>
      </c>
      <c r="E95" s="21">
        <v>145.69999999999999</v>
      </c>
      <c r="F95">
        <v>101.29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3">
        <v>138</v>
      </c>
      <c r="D96" s="218">
        <v>135.4</v>
      </c>
      <c r="E96" s="21">
        <v>141</v>
      </c>
      <c r="F96">
        <v>97.24</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3">
        <v>138.4</v>
      </c>
      <c r="D97" s="218">
        <v>135.6</v>
      </c>
      <c r="E97" s="21">
        <v>140</v>
      </c>
      <c r="F97">
        <v>95.45</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v>138.69999999999999</v>
      </c>
      <c r="D98" s="218">
        <v>135.80000000000001</v>
      </c>
      <c r="E98" s="21">
        <v>143.9</v>
      </c>
      <c r="F98">
        <v>98.01</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v>139</v>
      </c>
      <c r="D99" s="218">
        <v>136</v>
      </c>
      <c r="E99" s="21">
        <v>147.30000000000001</v>
      </c>
      <c r="F99">
        <v>100.68</v>
      </c>
      <c r="G99">
        <v>121.2</v>
      </c>
      <c r="H99">
        <v>125.3</v>
      </c>
      <c r="I99">
        <v>99.2</v>
      </c>
      <c r="J99">
        <v>86.6</v>
      </c>
      <c r="K99" s="38">
        <v>132.49710318172353</v>
      </c>
      <c r="L99">
        <v>101</v>
      </c>
      <c r="M99">
        <v>112.9</v>
      </c>
      <c r="N99">
        <v>131.30000000000001</v>
      </c>
      <c r="O99">
        <v>88.6</v>
      </c>
      <c r="P99">
        <v>115.2</v>
      </c>
      <c r="Q99">
        <v>107</v>
      </c>
      <c r="R99">
        <v>144</v>
      </c>
      <c r="S99">
        <v>108.8</v>
      </c>
      <c r="T99">
        <v>92.7</v>
      </c>
      <c r="U99">
        <v>118.8</v>
      </c>
      <c r="V99">
        <v>132.19999999999999</v>
      </c>
      <c r="W99">
        <v>113.9</v>
      </c>
      <c r="X99">
        <v>129.30000000000001</v>
      </c>
      <c r="Y99">
        <v>138.9</v>
      </c>
      <c r="Z99">
        <v>129.9</v>
      </c>
      <c r="AA99">
        <v>116.5</v>
      </c>
      <c r="AB99">
        <v>90.4</v>
      </c>
      <c r="AC99">
        <v>121</v>
      </c>
      <c r="AD99">
        <v>119.7</v>
      </c>
      <c r="AE99">
        <v>125.5</v>
      </c>
      <c r="AF99">
        <v>121.5</v>
      </c>
      <c r="AG99">
        <v>124.8</v>
      </c>
      <c r="AH99">
        <v>107.6</v>
      </c>
      <c r="AI99">
        <v>82.4</v>
      </c>
      <c r="AJ99">
        <v>137.80000000000001</v>
      </c>
      <c r="AK99">
        <v>94.6</v>
      </c>
      <c r="AL99">
        <v>82.1</v>
      </c>
      <c r="AM99">
        <v>118.1</v>
      </c>
      <c r="AN99">
        <v>108.3</v>
      </c>
    </row>
    <row r="100" spans="1:40">
      <c r="A100" s="1">
        <f t="shared" si="1"/>
        <v>45870</v>
      </c>
      <c r="B100">
        <v>128.4</v>
      </c>
      <c r="C100">
        <v>139.30000000000001</v>
      </c>
      <c r="D100" s="218">
        <v>136.30000000000001</v>
      </c>
      <c r="E100" s="21">
        <v>143.30000000000001</v>
      </c>
      <c r="F100">
        <v>98.92</v>
      </c>
      <c r="G100">
        <v>121</v>
      </c>
      <c r="H100">
        <v>125.3</v>
      </c>
      <c r="I100">
        <v>106.4</v>
      </c>
      <c r="J100">
        <v>80.7</v>
      </c>
      <c r="K100" s="38">
        <v>128.22471866649806</v>
      </c>
      <c r="L100">
        <v>101.8</v>
      </c>
      <c r="M100">
        <v>112.9</v>
      </c>
      <c r="N100">
        <v>132.69999999999999</v>
      </c>
      <c r="O100">
        <v>87.8</v>
      </c>
      <c r="P100">
        <v>116.8</v>
      </c>
      <c r="Q100">
        <v>107.3</v>
      </c>
      <c r="R100">
        <v>143</v>
      </c>
      <c r="S100">
        <v>109.6</v>
      </c>
      <c r="T100">
        <v>91.4</v>
      </c>
      <c r="U100">
        <v>114</v>
      </c>
      <c r="V100">
        <v>133.6</v>
      </c>
      <c r="W100">
        <v>114.9</v>
      </c>
      <c r="X100">
        <v>129.4</v>
      </c>
      <c r="Y100">
        <v>140.30000000000001</v>
      </c>
      <c r="Z100">
        <v>129.30000000000001</v>
      </c>
      <c r="AA100">
        <v>116.9</v>
      </c>
      <c r="AB100">
        <v>88.7</v>
      </c>
      <c r="AC100">
        <v>121.3</v>
      </c>
      <c r="AD100">
        <v>119.9</v>
      </c>
      <c r="AE100">
        <v>125.7</v>
      </c>
      <c r="AF100">
        <v>120.4</v>
      </c>
      <c r="AG100">
        <v>124.9</v>
      </c>
      <c r="AH100">
        <v>106.3</v>
      </c>
      <c r="AI100">
        <v>82.4</v>
      </c>
      <c r="AJ100">
        <v>137.9</v>
      </c>
      <c r="AK100">
        <v>92.1</v>
      </c>
      <c r="AL100">
        <v>79</v>
      </c>
      <c r="AM100">
        <v>118.8</v>
      </c>
      <c r="AN100">
        <v>108.2</v>
      </c>
    </row>
    <row r="101" spans="1:40">
      <c r="A101" s="1">
        <f t="shared" si="1"/>
        <v>45901</v>
      </c>
      <c r="B101">
        <v>126.8</v>
      </c>
      <c r="C101">
        <v>139.69999999999999</v>
      </c>
      <c r="D101" s="218">
        <v>136.5</v>
      </c>
      <c r="E101">
        <v>145.1</v>
      </c>
      <c r="F101">
        <v>99.17</v>
      </c>
      <c r="G101">
        <v>118.1</v>
      </c>
      <c r="H101">
        <v>125.3</v>
      </c>
      <c r="I101">
        <v>107.4</v>
      </c>
      <c r="J101">
        <v>78.7</v>
      </c>
      <c r="K101" s="38">
        <v>129.37702154404852</v>
      </c>
      <c r="L101">
        <v>101.9</v>
      </c>
      <c r="M101">
        <v>112.9</v>
      </c>
      <c r="N101">
        <v>131.30000000000001</v>
      </c>
      <c r="O101">
        <v>87.7</v>
      </c>
      <c r="P101">
        <v>115.8</v>
      </c>
      <c r="Q101">
        <v>106.2</v>
      </c>
      <c r="R101">
        <v>143.6</v>
      </c>
      <c r="S101">
        <v>106.9</v>
      </c>
      <c r="T101">
        <v>90.7</v>
      </c>
      <c r="U101">
        <v>109.8</v>
      </c>
      <c r="V101">
        <v>130.69999999999999</v>
      </c>
      <c r="W101">
        <v>114.1</v>
      </c>
      <c r="X101">
        <v>129.1</v>
      </c>
      <c r="Y101">
        <v>140.4</v>
      </c>
      <c r="Z101">
        <v>127</v>
      </c>
      <c r="AA101">
        <v>116.9</v>
      </c>
      <c r="AB101">
        <v>88</v>
      </c>
      <c r="AC101">
        <v>121.4</v>
      </c>
      <c r="AD101">
        <v>118.3</v>
      </c>
      <c r="AE101">
        <v>124.1</v>
      </c>
      <c r="AF101">
        <v>122.2</v>
      </c>
      <c r="AG101">
        <v>128.19999999999999</v>
      </c>
      <c r="AH101">
        <v>107.6</v>
      </c>
      <c r="AI101">
        <v>82.4</v>
      </c>
      <c r="AJ101">
        <v>134.69999999999999</v>
      </c>
      <c r="AK101">
        <v>92.1</v>
      </c>
      <c r="AL101">
        <v>80.099999999999994</v>
      </c>
      <c r="AM101">
        <v>118.5</v>
      </c>
      <c r="AN101">
        <v>107.1</v>
      </c>
    </row>
    <row r="102" spans="1:40">
      <c r="A102" s="1">
        <f>EDATE(A101,1)</f>
        <v>45931</v>
      </c>
      <c r="B102">
        <v>126.7</v>
      </c>
      <c r="C102" s="227">
        <v>140.4</v>
      </c>
      <c r="D102" s="218">
        <v>136.80000000000001</v>
      </c>
      <c r="E102">
        <v>143.4</v>
      </c>
      <c r="F102">
        <v>98.62</v>
      </c>
      <c r="G102">
        <v>119.5</v>
      </c>
      <c r="H102">
        <v>125.4</v>
      </c>
      <c r="I102">
        <v>109.5</v>
      </c>
      <c r="J102">
        <v>77.599999999999994</v>
      </c>
      <c r="K102" s="38">
        <v>128.47290697858585</v>
      </c>
      <c r="L102" s="279">
        <v>100.9</v>
      </c>
      <c r="M102" s="279">
        <v>113.8</v>
      </c>
      <c r="N102" s="279">
        <v>131.69999999999999</v>
      </c>
      <c r="O102" s="279">
        <v>86.4</v>
      </c>
      <c r="P102" s="279">
        <v>116</v>
      </c>
      <c r="Q102" s="279">
        <v>105.8</v>
      </c>
      <c r="R102" s="279">
        <v>143.30000000000001</v>
      </c>
      <c r="S102" s="279">
        <v>107</v>
      </c>
      <c r="T102">
        <v>90.4</v>
      </c>
      <c r="U102">
        <v>106.7</v>
      </c>
      <c r="V102">
        <v>132.30000000000001</v>
      </c>
      <c r="W102">
        <v>114.7</v>
      </c>
      <c r="X102">
        <v>127</v>
      </c>
      <c r="Y102">
        <v>139</v>
      </c>
      <c r="Z102">
        <v>126.5</v>
      </c>
      <c r="AA102">
        <v>116.5</v>
      </c>
      <c r="AB102">
        <v>88.3</v>
      </c>
      <c r="AC102">
        <v>121.8</v>
      </c>
      <c r="AD102">
        <v>117.7</v>
      </c>
      <c r="AE102">
        <v>123.9</v>
      </c>
      <c r="AF102" s="280">
        <v>121.3</v>
      </c>
      <c r="AG102" s="280">
        <v>123.8</v>
      </c>
      <c r="AH102" s="280">
        <v>106.5</v>
      </c>
      <c r="AI102" s="280">
        <v>82.9</v>
      </c>
      <c r="AJ102" s="280">
        <v>134.80000000000001</v>
      </c>
      <c r="AK102" s="280">
        <v>91.3</v>
      </c>
      <c r="AL102" s="280">
        <v>78.5</v>
      </c>
      <c r="AM102" s="280">
        <v>118.2</v>
      </c>
      <c r="AN102" s="280">
        <v>107</v>
      </c>
    </row>
    <row r="103" spans="1:40">
      <c r="A103" s="1">
        <f t="shared" si="1"/>
        <v>45962</v>
      </c>
      <c r="B103">
        <v>126.2</v>
      </c>
      <c r="C103" s="227">
        <v>141.1</v>
      </c>
      <c r="D103" s="218">
        <v>137.1</v>
      </c>
      <c r="E103">
        <v>149.6</v>
      </c>
      <c r="F103">
        <v>102.87</v>
      </c>
      <c r="G103">
        <v>118.2</v>
      </c>
      <c r="H103">
        <v>125.4</v>
      </c>
      <c r="I103">
        <v>123.6</v>
      </c>
      <c r="J103">
        <v>75.7</v>
      </c>
      <c r="K103" s="38">
        <v>139.23364308124926</v>
      </c>
      <c r="L103" s="279">
        <v>100.7</v>
      </c>
      <c r="M103" s="279">
        <v>113.8</v>
      </c>
      <c r="N103" s="279">
        <v>131.6</v>
      </c>
      <c r="O103" s="279">
        <v>85.7</v>
      </c>
      <c r="P103" s="279">
        <v>115.9</v>
      </c>
      <c r="Q103" s="279">
        <v>105.1</v>
      </c>
      <c r="R103" s="279">
        <v>143.9</v>
      </c>
      <c r="S103" s="279">
        <v>110</v>
      </c>
      <c r="T103">
        <v>89.8</v>
      </c>
      <c r="U103">
        <v>107</v>
      </c>
      <c r="V103">
        <v>127.8</v>
      </c>
      <c r="W103">
        <v>114.2</v>
      </c>
      <c r="X103">
        <v>128.19999999999999</v>
      </c>
      <c r="Y103">
        <v>139.5</v>
      </c>
      <c r="Z103" s="280">
        <v>127.9</v>
      </c>
      <c r="AA103">
        <v>116.7</v>
      </c>
      <c r="AB103">
        <v>86.1</v>
      </c>
      <c r="AC103">
        <v>122.7</v>
      </c>
      <c r="AD103">
        <v>117.5</v>
      </c>
      <c r="AE103">
        <v>125.5</v>
      </c>
      <c r="AF103" s="280">
        <v>123.2</v>
      </c>
      <c r="AG103" s="280">
        <v>126.9</v>
      </c>
      <c r="AH103" s="280">
        <v>106.1</v>
      </c>
      <c r="AI103" s="280">
        <v>82.6</v>
      </c>
      <c r="AJ103" s="280">
        <v>130.1</v>
      </c>
      <c r="AK103" s="280">
        <v>90.3</v>
      </c>
      <c r="AL103" s="280">
        <v>79.599999999999994</v>
      </c>
      <c r="AM103" s="280">
        <v>117.6</v>
      </c>
      <c r="AN103" s="280">
        <v>107.1</v>
      </c>
    </row>
    <row r="104" spans="1:40">
      <c r="A104" s="1">
        <f t="shared" si="1"/>
        <v>45992</v>
      </c>
      <c r="B104">
        <v>125.5</v>
      </c>
      <c r="C104" s="227">
        <v>141.80000000000001</v>
      </c>
      <c r="D104" s="218">
        <v>137.4</v>
      </c>
      <c r="E104">
        <v>141.30000000000001</v>
      </c>
      <c r="F104">
        <v>98.39</v>
      </c>
      <c r="G104">
        <v>119.7</v>
      </c>
      <c r="H104">
        <v>125.4</v>
      </c>
      <c r="I104">
        <v>146.5</v>
      </c>
      <c r="J104">
        <v>74.5</v>
      </c>
      <c r="K104" s="38">
        <v>125.53</v>
      </c>
      <c r="L104" s="279">
        <v>99.8</v>
      </c>
      <c r="M104" s="279">
        <v>113.8</v>
      </c>
      <c r="N104" s="279">
        <v>131.1</v>
      </c>
      <c r="O104" s="279">
        <v>85.6</v>
      </c>
      <c r="P104" s="279">
        <v>116.6</v>
      </c>
      <c r="Q104" s="279">
        <v>104.8</v>
      </c>
      <c r="R104" s="279">
        <v>143.80000000000001</v>
      </c>
      <c r="S104" s="279">
        <v>109.5</v>
      </c>
      <c r="T104">
        <v>89.6</v>
      </c>
      <c r="U104">
        <v>101.7</v>
      </c>
      <c r="V104">
        <v>127.2</v>
      </c>
      <c r="W104">
        <v>112.1</v>
      </c>
      <c r="X104">
        <v>127.5</v>
      </c>
      <c r="Y104">
        <v>138.1</v>
      </c>
      <c r="Z104" s="80">
        <v>127.9</v>
      </c>
      <c r="AA104">
        <v>117</v>
      </c>
      <c r="AB104">
        <v>84.7</v>
      </c>
      <c r="AC104">
        <v>120</v>
      </c>
      <c r="AD104">
        <v>117.8</v>
      </c>
      <c r="AE104" s="80">
        <v>125.5</v>
      </c>
      <c r="AF104" s="280">
        <v>123.3</v>
      </c>
      <c r="AG104" s="280">
        <v>127.6</v>
      </c>
      <c r="AH104" s="280">
        <v>105.6</v>
      </c>
      <c r="AI104" s="280">
        <v>82.8</v>
      </c>
      <c r="AJ104" s="280">
        <v>132.4</v>
      </c>
      <c r="AK104" s="280">
        <v>91.2</v>
      </c>
      <c r="AL104" s="280">
        <v>81.099999999999994</v>
      </c>
      <c r="AM104" s="280">
        <v>117.6</v>
      </c>
      <c r="AN104" s="280">
        <v>108</v>
      </c>
    </row>
    <row r="105" spans="1:40">
      <c r="A105" s="1">
        <f t="shared" si="1"/>
        <v>46023</v>
      </c>
      <c r="B105">
        <v>127.6</v>
      </c>
      <c r="C105" s="226">
        <v>141.80000000000001</v>
      </c>
      <c r="D105" s="226">
        <v>137.69999999999999</v>
      </c>
      <c r="E105">
        <v>150.1</v>
      </c>
      <c r="F105">
        <v>100.91</v>
      </c>
      <c r="G105">
        <v>118</v>
      </c>
      <c r="H105">
        <v>125.7</v>
      </c>
      <c r="I105">
        <v>154.19999999999999</v>
      </c>
      <c r="J105">
        <v>71.400000000000006</v>
      </c>
      <c r="K105" s="38">
        <v>133.73804474216251</v>
      </c>
      <c r="L105" s="279">
        <v>100.1</v>
      </c>
      <c r="M105" s="279">
        <v>113.9</v>
      </c>
      <c r="N105" s="279">
        <v>133.80000000000001</v>
      </c>
      <c r="O105" s="279">
        <v>85.5</v>
      </c>
      <c r="P105" s="279">
        <v>116.4</v>
      </c>
      <c r="Q105" s="279">
        <v>104.2</v>
      </c>
      <c r="R105" s="279">
        <v>150.4</v>
      </c>
      <c r="S105" s="279">
        <v>112.4</v>
      </c>
      <c r="T105" s="281">
        <v>89.6</v>
      </c>
      <c r="U105">
        <v>96.9</v>
      </c>
      <c r="V105">
        <v>126.8</v>
      </c>
      <c r="W105">
        <v>115.1</v>
      </c>
      <c r="X105">
        <v>127.5</v>
      </c>
      <c r="Y105" s="281">
        <v>138.1</v>
      </c>
      <c r="Z105" s="80">
        <v>127.9</v>
      </c>
      <c r="AA105">
        <v>118.5</v>
      </c>
      <c r="AB105">
        <v>83.8</v>
      </c>
      <c r="AC105">
        <v>122.9</v>
      </c>
      <c r="AD105">
        <v>118.9</v>
      </c>
      <c r="AE105" s="80">
        <v>125.5</v>
      </c>
      <c r="AF105" s="280">
        <v>128</v>
      </c>
      <c r="AG105" s="280">
        <v>134.9</v>
      </c>
      <c r="AH105" s="280">
        <v>107.3</v>
      </c>
      <c r="AI105" s="280">
        <v>82.7</v>
      </c>
      <c r="AJ105" s="280">
        <v>131.19999999999999</v>
      </c>
      <c r="AK105" s="280">
        <v>93</v>
      </c>
      <c r="AL105" s="280">
        <v>82.7</v>
      </c>
      <c r="AM105" s="280">
        <v>118.5</v>
      </c>
      <c r="AN105" s="280">
        <v>110.3</v>
      </c>
    </row>
    <row r="106" spans="1:40">
      <c r="A106" s="1">
        <f t="shared" si="1"/>
        <v>46054</v>
      </c>
      <c r="B106">
        <v>125.6</v>
      </c>
      <c r="C106" s="226">
        <v>141.80000000000001</v>
      </c>
      <c r="D106" s="226">
        <v>137.69999999999999</v>
      </c>
      <c r="E106">
        <v>157.19999999999999</v>
      </c>
      <c r="F106">
        <v>103.42</v>
      </c>
      <c r="G106">
        <v>119.2</v>
      </c>
      <c r="H106">
        <v>125.7</v>
      </c>
      <c r="I106">
        <v>147.6</v>
      </c>
      <c r="J106">
        <v>80.7</v>
      </c>
      <c r="K106" s="38">
        <v>139.37546497387086</v>
      </c>
      <c r="L106" s="279">
        <v>101.1</v>
      </c>
      <c r="M106" s="279">
        <v>113.8</v>
      </c>
      <c r="N106" s="279">
        <v>133.19999999999999</v>
      </c>
      <c r="O106" s="279">
        <v>86.1</v>
      </c>
      <c r="P106" s="279">
        <v>118.3</v>
      </c>
      <c r="Q106" s="279">
        <v>103.7</v>
      </c>
      <c r="R106" s="279">
        <v>149.19999999999999</v>
      </c>
      <c r="S106" s="279">
        <v>112.3</v>
      </c>
      <c r="T106" s="281">
        <v>89.6</v>
      </c>
      <c r="U106">
        <v>100.5</v>
      </c>
      <c r="V106">
        <v>128.5</v>
      </c>
      <c r="W106">
        <v>114.1</v>
      </c>
      <c r="X106">
        <v>129.19999999999999</v>
      </c>
      <c r="Y106" s="281">
        <v>138.1</v>
      </c>
      <c r="Z106" s="80">
        <v>127.9</v>
      </c>
      <c r="AA106">
        <v>118.5</v>
      </c>
      <c r="AB106">
        <v>84.4</v>
      </c>
      <c r="AC106">
        <v>117.7</v>
      </c>
      <c r="AD106">
        <v>119.9</v>
      </c>
      <c r="AE106" s="80">
        <v>125.5</v>
      </c>
      <c r="AF106" s="280">
        <v>128.9</v>
      </c>
      <c r="AG106" s="280">
        <v>136.80000000000001</v>
      </c>
      <c r="AH106" s="280">
        <v>104.4</v>
      </c>
      <c r="AI106" s="280">
        <v>82.6</v>
      </c>
      <c r="AJ106" s="280">
        <v>130.80000000000001</v>
      </c>
      <c r="AK106" s="280">
        <v>94.6</v>
      </c>
      <c r="AL106" s="280">
        <v>84.2</v>
      </c>
      <c r="AM106" s="280">
        <v>118.5</v>
      </c>
      <c r="AN106" s="280">
        <v>111.4</v>
      </c>
    </row>
    <row r="107" spans="1:40">
      <c r="A107" s="1"/>
      <c r="F107">
        <v>126.08</v>
      </c>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353</v>
      </c>
    </row>
  </sheetData>
  <sheetProtection algorithmName="SHA-512" hashValue="OdCEkV7i9xXt/jp9fzTVemAiMQviGoKeJj8j8z/bNDX0nSjdFOJjMPZNeA/A9fpzh9jHktSiSSL8TZ1EjwKQxA==" saltValue="R7b/IdzJQ/KYpUyCy5swFQ=="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 ref="F4" r:id="rId41" xr:uid="{1FF63141-A018-440A-9BA0-37E5EB24FD99}"/>
  </hyperlinks>
  <pageMargins left="0.7" right="0.7" top="0.75" bottom="0.75" header="0.3" footer="0.3"/>
  <pageSetup paperSize="9" orientation="portrait"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102"/>
  <sheetViews>
    <sheetView topLeftCell="A73" zoomScale="80" zoomScaleNormal="80" workbookViewId="0">
      <selection activeCell="N100" sqref="N100"/>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5">
        <v>0.73070000000000002</v>
      </c>
    </row>
    <row r="87" spans="1:5">
      <c r="A87" s="1">
        <f>EDATE(A86,1)</f>
        <v>45597</v>
      </c>
      <c r="C87" s="172">
        <f t="shared" si="4"/>
        <v>132.58574186461206</v>
      </c>
      <c r="E87" s="215">
        <v>0.74790000000000001</v>
      </c>
    </row>
    <row r="88" spans="1:5">
      <c r="A88" s="1">
        <f t="shared" ref="A88:A101" si="7">EDATE(A87,1)</f>
        <v>45627</v>
      </c>
      <c r="C88" s="172">
        <f t="shared" si="4"/>
        <v>135.15626366837844</v>
      </c>
      <c r="E88" s="215">
        <v>0.76239999999999997</v>
      </c>
    </row>
    <row r="89" spans="1:5">
      <c r="A89" s="1">
        <f t="shared" si="7"/>
        <v>45658</v>
      </c>
      <c r="C89" s="172">
        <f t="shared" si="4"/>
        <v>143.16920060149849</v>
      </c>
      <c r="E89" s="216">
        <v>0.80759999999999998</v>
      </c>
    </row>
    <row r="90" spans="1:5">
      <c r="A90" s="1">
        <f>EDATE(A89,1)</f>
        <v>45689</v>
      </c>
      <c r="C90" s="172">
        <f t="shared" si="4"/>
        <v>142.03462546052575</v>
      </c>
      <c r="E90" s="215">
        <v>0.80120000000000002</v>
      </c>
    </row>
    <row r="91" spans="1:5">
      <c r="A91" s="1">
        <f t="shared" si="7"/>
        <v>45717</v>
      </c>
      <c r="C91" s="172">
        <f t="shared" si="4"/>
        <v>133.52531190323012</v>
      </c>
      <c r="E91" s="215">
        <v>0.75319999999999998</v>
      </c>
    </row>
    <row r="92" spans="1:5">
      <c r="A92" s="1">
        <f t="shared" si="7"/>
        <v>45748</v>
      </c>
      <c r="C92" s="172">
        <f t="shared" si="4"/>
        <v>124.16506699020496</v>
      </c>
      <c r="E92" s="215">
        <v>0.70040000000000002</v>
      </c>
    </row>
    <row r="93" spans="1:5">
      <c r="A93" s="1">
        <f t="shared" si="7"/>
        <v>45778</v>
      </c>
      <c r="C93" s="172">
        <f t="shared" ref="C93:C102" si="8">C92*(1+(E93/E92-1))</f>
        <v>120.38905909915503</v>
      </c>
      <c r="E93" s="215">
        <v>0.67910000000000004</v>
      </c>
    </row>
    <row r="94" spans="1:5">
      <c r="A94" s="1">
        <f>EDATE(A93,1)</f>
        <v>45809</v>
      </c>
      <c r="C94" s="172">
        <f t="shared" si="8"/>
        <v>127.85243619836636</v>
      </c>
      <c r="E94" s="215">
        <v>0.72119999999999995</v>
      </c>
    </row>
    <row r="95" spans="1:5">
      <c r="A95" s="1">
        <f t="shared" si="7"/>
        <v>45839</v>
      </c>
      <c r="C95" s="172">
        <f t="shared" si="8"/>
        <v>132.49710318172353</v>
      </c>
      <c r="E95" s="215">
        <v>0.74739999999999995</v>
      </c>
    </row>
    <row r="96" spans="1:5">
      <c r="A96" s="1">
        <f t="shared" si="7"/>
        <v>45870</v>
      </c>
      <c r="C96" s="172">
        <f t="shared" si="8"/>
        <v>128.22471866649806</v>
      </c>
      <c r="E96" s="215">
        <v>0.72330000000000005</v>
      </c>
    </row>
    <row r="97" spans="1:5">
      <c r="A97" s="1">
        <f t="shared" si="7"/>
        <v>45901</v>
      </c>
      <c r="C97" s="172">
        <f t="shared" si="8"/>
        <v>129.37702154404852</v>
      </c>
      <c r="E97" s="215">
        <v>0.7298</v>
      </c>
    </row>
    <row r="98" spans="1:5">
      <c r="A98" s="1">
        <f>EDATE(A97,1)</f>
        <v>45931</v>
      </c>
      <c r="C98" s="172">
        <f t="shared" si="8"/>
        <v>128.47290697858585</v>
      </c>
      <c r="E98" s="215">
        <v>0.72470000000000001</v>
      </c>
    </row>
    <row r="99" spans="1:5">
      <c r="A99" s="1">
        <f t="shared" si="7"/>
        <v>45962</v>
      </c>
      <c r="C99" s="172">
        <f t="shared" si="8"/>
        <v>139.23364308124926</v>
      </c>
      <c r="E99" s="215">
        <v>0.78539999999999999</v>
      </c>
    </row>
    <row r="100" spans="1:5">
      <c r="A100" s="1">
        <f t="shared" si="7"/>
        <v>45992</v>
      </c>
      <c r="C100" s="172">
        <f t="shared" si="8"/>
        <v>125.5301027066878</v>
      </c>
      <c r="E100" s="223">
        <v>0.70809999999999995</v>
      </c>
    </row>
    <row r="101" spans="1:5">
      <c r="A101" s="1">
        <f t="shared" si="7"/>
        <v>46023</v>
      </c>
      <c r="C101" s="172">
        <f t="shared" si="8"/>
        <v>133.73804474216251</v>
      </c>
      <c r="E101" s="224">
        <v>0.75439999999999996</v>
      </c>
    </row>
    <row r="102" spans="1:5">
      <c r="A102" s="1">
        <f>EDATE(A101,1)</f>
        <v>46054</v>
      </c>
      <c r="C102" s="172">
        <f t="shared" si="8"/>
        <v>139.37546497387086</v>
      </c>
      <c r="E102" s="225">
        <v>0.78620000000000001</v>
      </c>
    </row>
  </sheetData>
  <sheetProtection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37" sqref="B37"/>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275</v>
      </c>
    </row>
    <row r="11" spans="1:2">
      <c r="A11" t="s">
        <v>29</v>
      </c>
      <c r="B11" t="s">
        <v>350</v>
      </c>
    </row>
    <row r="12" spans="1:2">
      <c r="A12" t="s">
        <v>30</v>
      </c>
      <c r="B12" t="s">
        <v>9</v>
      </c>
    </row>
    <row r="13" spans="1:2">
      <c r="A13" t="s">
        <v>31</v>
      </c>
      <c r="B13" t="s">
        <v>10</v>
      </c>
    </row>
    <row r="14" spans="1:2">
      <c r="A14" t="s">
        <v>32</v>
      </c>
      <c r="B14" t="s">
        <v>11</v>
      </c>
    </row>
    <row r="15" spans="1:2">
      <c r="A15" t="s">
        <v>33</v>
      </c>
      <c r="B15" t="s">
        <v>12</v>
      </c>
    </row>
    <row r="16" spans="1:2">
      <c r="A16" t="s">
        <v>269</v>
      </c>
      <c r="B16" t="s">
        <v>276</v>
      </c>
    </row>
    <row r="17" spans="1:2">
      <c r="A17" t="s">
        <v>270</v>
      </c>
      <c r="B17" t="s">
        <v>277</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271</v>
      </c>
      <c r="B23" t="s">
        <v>278</v>
      </c>
    </row>
    <row r="24" spans="1:2">
      <c r="A24" t="s">
        <v>272</v>
      </c>
      <c r="B24" t="s">
        <v>315</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A11" sqref="A11"/>
    </sheetView>
  </sheetViews>
  <sheetFormatPr baseColWidth="10" defaultRowHeight="15"/>
  <cols>
    <col min="2" max="2" width="11.42578125" style="80"/>
    <col min="21" max="21" width="17.85546875" customWidth="1"/>
  </cols>
  <sheetData>
    <row r="1" spans="1:44" s="21" customFormat="1">
      <c r="B1" s="179"/>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316</v>
      </c>
      <c r="G2" t="s">
        <v>118</v>
      </c>
      <c r="H2" t="s">
        <v>119</v>
      </c>
      <c r="I2" t="s">
        <v>120</v>
      </c>
      <c r="J2" t="s">
        <v>117</v>
      </c>
      <c r="K2" t="s">
        <v>121</v>
      </c>
      <c r="L2" s="33" t="s">
        <v>263</v>
      </c>
      <c r="M2" t="s">
        <v>55</v>
      </c>
      <c r="N2" t="s">
        <v>122</v>
      </c>
      <c r="O2" t="s">
        <v>123</v>
      </c>
      <c r="P2" t="s">
        <v>124</v>
      </c>
      <c r="Q2" t="s">
        <v>125</v>
      </c>
      <c r="R2" t="s">
        <v>126</v>
      </c>
      <c r="S2" t="s">
        <v>127</v>
      </c>
      <c r="T2" t="s">
        <v>128</v>
      </c>
      <c r="U2" t="s">
        <v>258</v>
      </c>
      <c r="V2" t="s">
        <v>129</v>
      </c>
      <c r="W2" t="s">
        <v>130</v>
      </c>
      <c r="X2" t="s">
        <v>131</v>
      </c>
      <c r="Y2" t="s">
        <v>132</v>
      </c>
      <c r="Z2" t="s">
        <v>133</v>
      </c>
      <c r="AA2" t="s">
        <v>134</v>
      </c>
      <c r="AB2" t="s">
        <v>266</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317</v>
      </c>
      <c r="G3" s="33" t="s">
        <v>50</v>
      </c>
      <c r="H3" s="33" t="s">
        <v>51</v>
      </c>
      <c r="I3" s="33" t="s">
        <v>52</v>
      </c>
      <c r="J3" s="33" t="s">
        <v>49</v>
      </c>
      <c r="K3" s="33" t="s">
        <v>53</v>
      </c>
      <c r="L3" s="33" t="s">
        <v>264</v>
      </c>
      <c r="M3" s="33" t="s">
        <v>55</v>
      </c>
      <c r="N3" s="33" t="s">
        <v>56</v>
      </c>
      <c r="O3" s="33" t="s">
        <v>57</v>
      </c>
      <c r="P3" s="33" t="s">
        <v>58</v>
      </c>
      <c r="Q3" s="33" t="s">
        <v>59</v>
      </c>
      <c r="R3" s="33" t="s">
        <v>319</v>
      </c>
      <c r="S3" s="33" t="s">
        <v>60</v>
      </c>
      <c r="T3" s="33" t="s">
        <v>61</v>
      </c>
      <c r="U3" s="185" t="s">
        <v>256</v>
      </c>
      <c r="V3" s="33" t="s">
        <v>62</v>
      </c>
      <c r="W3" s="33" t="s">
        <v>63</v>
      </c>
      <c r="X3" s="33" t="s">
        <v>64</v>
      </c>
      <c r="Y3" s="33" t="s">
        <v>65</v>
      </c>
      <c r="Z3" s="33" t="s">
        <v>66</v>
      </c>
      <c r="AA3" s="33" t="s">
        <v>67</v>
      </c>
      <c r="AB3" s="32" t="s">
        <v>268</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3">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3">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3">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3">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3">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3">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3">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3">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3">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3">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3">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1">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1">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1">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269</v>
      </c>
      <c r="B19" s="182">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270</v>
      </c>
      <c r="B20" s="182">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1">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4">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4">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4">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4">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271</v>
      </c>
      <c r="B26" s="181">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272</v>
      </c>
      <c r="B27" s="181">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1"/>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55"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317</v>
      </c>
      <c r="H7" t="s">
        <v>316</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1.6459253311922994E-2</v>
      </c>
      <c r="S15" s="20">
        <v>2.0556227327690468E-2</v>
      </c>
      <c r="T15" s="21"/>
    </row>
    <row r="16" spans="1:20">
      <c r="A16" s="1">
        <f>EDATE(DATE3,-35)</f>
        <v>44986</v>
      </c>
      <c r="B16" cm="1">
        <f t="array" ref="B16">IF(A16&lt;=DATE3,SUM(IF((INDEX(INDEX,,1)=A16)*(INDEX(INDEX,3,)="TP01"),INDEX(INDEX,,),0)),"")</f>
        <v>128.9</v>
      </c>
      <c r="C16" s="33" cm="1">
        <f t="array" ref="C16">IF(A16&lt;=DATE3,SUM(IF((INDEX(INDEX,,1)=A16)*(INDEX(INDEX,3,)=C14),INDEX(INDEX,,),0)),"")</f>
        <v>135.30000000000001</v>
      </c>
      <c r="D16" cm="1">
        <f t="array" ref="D16">IF($A16&lt;=DATE4,SUM(IF((INDEX(INDICES,,1)=$A16)*(INDEX(INDICES,5,)=D$14),INDEX(INDICES,,),0)),NA())</f>
        <v>119.4</v>
      </c>
      <c r="E16" cm="1">
        <f t="array" ref="E16">IF($A16&lt;=DATE4,SUM(IF((INDEX(INDICES,,1)=$A16)*(INDEX(INDICES,5,)=E$14),INDEX(INDICES,,),0)),NA())</f>
        <v>130</v>
      </c>
      <c r="F16" cm="1">
        <f t="array" ref="F16">IF($A16&lt;=DATE4,SUM(IF((INDEX(INDICES,,1)=$A16)*(INDEX(INDICES,5,)=F$14),INDEX(INDICES,,),0)),NA())</f>
        <v>138.6</v>
      </c>
      <c r="G16" cm="1">
        <f t="array" ref="G16">IF($A16&lt;=DATE4,SUM(IF((INDEX(INDICES,,1)=$A16)*(INDEX(INDICES,5,)=G$14),INDEX(INDICES,,),0)),NA())</f>
        <v>125.2115059221658</v>
      </c>
      <c r="H16" cm="1">
        <f t="array" ref="H16">IF($A16&lt;=DATE4,SUM(IF((INDEX(INDICES,,1)=$A16)*(INDEX(INDICES,5,)=H$14),INDEX(INDICES,,),0)),NA())</f>
        <v>101.78371696002826</v>
      </c>
      <c r="K16" t="str">
        <v>Travail</v>
      </c>
      <c r="L16" s="38">
        <v>0.5</v>
      </c>
      <c r="M16" t="str">
        <v>Matériel</v>
      </c>
      <c r="N16">
        <v>0.21</v>
      </c>
      <c r="P16">
        <v>103167938</v>
      </c>
      <c r="Q16" t="str">
        <v>Travail</v>
      </c>
      <c r="R16" s="20">
        <v>3.2774945375090958E-2</v>
      </c>
      <c r="S16" s="20">
        <v>6.9381598793363697E-2</v>
      </c>
      <c r="T16" s="21"/>
    </row>
    <row r="17" spans="1:20">
      <c r="A17" s="1">
        <f t="shared" ref="A17:A52" si="0">IF(A16&lt;DATE3,EDATE(A16,1),"")</f>
        <v>45017</v>
      </c>
      <c r="B17" cm="1">
        <f t="array" ref="B17">IF(A17&lt;=DATE3,SUM(IF((INDEX(INDEX,,1)=A17)*(INDEX(INDEX,3,)="TP01"),INDEX(INDEX,,),0)),"")</f>
        <v>129.4</v>
      </c>
      <c r="C17" s="33" cm="1">
        <f t="array" ref="C17">IF(A17&lt;=DATE3,SUM(IF((INDEX(INDEX,,1)=A17)*(INDEX(INDEX,3,)=C1),INDEX(INDEX,,),0)),"")</f>
        <v>135.69999999999999</v>
      </c>
      <c r="D17" cm="1">
        <f t="array" ref="D17">IF($A17&lt;=DATE4,SUM(IF((INDEX(INDICES,,1)=$A17)*(INDEX(INDICES,5,)=D$14),INDEX(INDICES,,),0)),NA())</f>
        <v>122.6</v>
      </c>
      <c r="E17" cm="1">
        <f t="array" ref="E17">IF($A17&lt;=DATE4,SUM(IF((INDEX(INDICES,,1)=$A17)*(INDEX(INDICES,5,)=E$14),INDEX(INDICES,,),0)),NA())</f>
        <v>130.4</v>
      </c>
      <c r="F17" cm="1">
        <f t="array" ref="F17">IF($A17&lt;=DATE4,SUM(IF((INDEX(INDICES,,1)=$A17)*(INDEX(INDICES,5,)=F$14),INDEX(INDICES,,),0)),NA())</f>
        <v>130.80000000000001</v>
      </c>
      <c r="G17" cm="1">
        <f t="array" ref="G17">IF($A17&lt;=DATE4,SUM(IF((INDEX(INDICES,,1)=$A17)*(INDEX(INDICES,5,)=G$14),INDEX(INDICES,,),0)),NA())</f>
        <v>128.31359278059784</v>
      </c>
      <c r="H17" cm="1">
        <f t="array" ref="H17">IF($A17&lt;=DATE4,SUM(IF((INDEX(INDICES,,1)=$A17)*(INDEX(INDICES,5,)=H$14),INDEX(INDICES,,),0)),NA())</f>
        <v>101.07729440160121</v>
      </c>
      <c r="K17" t="str">
        <v>GNR pour les Travaux Publics</v>
      </c>
      <c r="L17" s="38">
        <v>0.01</v>
      </c>
      <c r="M17" t="str">
        <v>Béton prêt à l'emploi</v>
      </c>
      <c r="N17">
        <v>0.12</v>
      </c>
      <c r="P17" t="s">
        <v>49</v>
      </c>
      <c r="Q17" t="str">
        <v>Travail activités spécialisées</v>
      </c>
      <c r="R17" s="20">
        <v>2.1892393320964709E-2</v>
      </c>
      <c r="S17" s="20">
        <v>4.8743335872048599E-2</v>
      </c>
      <c r="T17" s="21"/>
    </row>
    <row r="18" spans="1:20">
      <c r="A18" s="1">
        <f t="shared" si="0"/>
        <v>45047</v>
      </c>
      <c r="B18" cm="1">
        <f t="array" ref="B18">IF(A18&lt;=DATE3,SUM(IF((INDEX(INDEX,,1)=A18)*(INDEX(INDEX,3,)="TP01"),INDEX(INDEX,,),0)),"")</f>
        <v>128.9</v>
      </c>
      <c r="C18" s="33" cm="1">
        <f t="array" ref="C18">IF(A18&lt;=DATE3,SUM(IF((INDEX(INDEX,,1)=A18)*(INDEX(INDEX,3,)=C14),INDEX(INDEX,,),0)),"")</f>
        <v>133.19999999999999</v>
      </c>
      <c r="D18" cm="1">
        <f t="array" ref="D18">IF($A18&lt;=DATE4,SUM(IF((INDEX(INDICES,,1)=$A18)*(INDEX(INDICES,5,)=D$14),INDEX(INDICES,,),0)),NA())</f>
        <v>122.2</v>
      </c>
      <c r="E18" cm="1">
        <f t="array" ref="E18">IF($A18&lt;=DATE4,SUM(IF((INDEX(INDICES,,1)=$A18)*(INDEX(INDICES,5,)=E$14),INDEX(INDICES,,),0)),NA())</f>
        <v>130.9</v>
      </c>
      <c r="F18" cm="1">
        <f t="array" ref="F18">IF($A18&lt;=DATE4,SUM(IF((INDEX(INDICES,,1)=$A18)*(INDEX(INDICES,5,)=F$14),INDEX(INDICES,,),0)),NA())</f>
        <v>122.4</v>
      </c>
      <c r="G18" cm="1">
        <f t="array" ref="G18">IF($A18&lt;=DATE4,SUM(IF((INDEX(INDICES,,1)=$A18)*(INDEX(INDICES,5,)=G$14),INDEX(INDICES,,),0)),NA())</f>
        <v>128.12558751645045</v>
      </c>
      <c r="H18" cm="1">
        <f t="array" ref="H18">IF($A18&lt;=DATE4,SUM(IF((INDEX(INDICES,,1)=$A18)*(INDEX(INDICES,5,)=H$14),INDEX(INDICES,,),0)),NA())</f>
        <v>98.722552540177773</v>
      </c>
      <c r="K18" t="str">
        <v>Gazole</v>
      </c>
      <c r="L18" s="38">
        <v>0</v>
      </c>
      <c r="M18" t="str">
        <v>Barres crénelées ou nervurées pour béton armé</v>
      </c>
      <c r="N18">
        <v>0.1</v>
      </c>
      <c r="P18" s="33" t="s">
        <v>317</v>
      </c>
      <c r="Q18" t="str">
        <v>GNR pour les Travaux Publics</v>
      </c>
      <c r="R18" s="20">
        <v>-1.7268947873361196E-2</v>
      </c>
      <c r="S18" s="20">
        <v>2.7072192513368787E-2</v>
      </c>
      <c r="T18" s="21"/>
    </row>
    <row r="19" spans="1:20">
      <c r="A19" s="1">
        <f t="shared" si="0"/>
        <v>45078</v>
      </c>
      <c r="B19" cm="1">
        <f t="array" ref="B19">IF(A19&lt;=DATE3,SUM(IF((INDEX(INDEX,,1)=A19)*(INDEX(INDEX,3,)="TP01"),INDEX(INDEX,,),0)),"")</f>
        <v>128.30000000000001</v>
      </c>
      <c r="C19" s="33" cm="1">
        <f t="array" ref="C19">IF(A19&lt;=DATE3,SUM(IF((INDEX(INDEX,,1)=A19)*(INDEX(INDEX,3,)=C14),INDEX(INDEX,,),0)),"")</f>
        <v>132.19999999999999</v>
      </c>
      <c r="D19" cm="1">
        <f t="array" ref="D19">IF($A19&lt;=DATE4,SUM(IF((INDEX(INDICES,,1)=$A19)*(INDEX(INDICES,5,)=D$14),INDEX(INDICES,,),0)),NA())</f>
        <v>122.3</v>
      </c>
      <c r="E19" cm="1">
        <f t="array" ref="E19">IF($A19&lt;=DATE4,SUM(IF((INDEX(INDICES,,1)=$A19)*(INDEX(INDICES,5,)=E$14),INDEX(INDICES,,),0)),NA())</f>
        <v>131.4</v>
      </c>
      <c r="F19" cm="1">
        <f t="array" ref="F19">IF($A19&lt;=DATE4,SUM(IF((INDEX(INDICES,,1)=$A19)*(INDEX(INDICES,5,)=F$14),INDEX(INDICES,,),0)),NA())</f>
        <v>124.3</v>
      </c>
      <c r="G19" cm="1">
        <f t="array" ref="G19">IF($A19&lt;=DATE4,SUM(IF((INDEX(INDICES,,1)=$A19)*(INDEX(INDICES,5,)=G$14),INDEX(INDICES,,),0)),NA())</f>
        <v>128.40759541267153</v>
      </c>
      <c r="H19" cm="1">
        <f t="array" ref="H19">IF($A19&lt;=DATE4,SUM(IF((INDEX(INDICES,,1)=$A19)*(INDEX(INDICES,5,)=H$14),INDEX(INDICES,,),0)),NA())</f>
        <v>93.542120445046208</v>
      </c>
      <c r="K19" t="str">
        <v>Frais divers</v>
      </c>
      <c r="L19" s="38">
        <v>0.01</v>
      </c>
      <c r="M19" t="str">
        <v>GNR pour les Travaux Publics</v>
      </c>
      <c r="N19">
        <v>0.01</v>
      </c>
      <c r="P19" t="s">
        <v>50</v>
      </c>
      <c r="Q19" t="str">
        <v>Gazole</v>
      </c>
      <c r="R19" s="20">
        <v>-2.3978982565082463E-2</v>
      </c>
      <c r="S19" s="20">
        <v>-6.3780068728522377E-2</v>
      </c>
      <c r="T19" s="21"/>
    </row>
    <row r="20" spans="1:20">
      <c r="A20" s="1">
        <f t="shared" si="0"/>
        <v>45108</v>
      </c>
      <c r="B20" cm="1">
        <f t="array" ref="B20">IF(A20&lt;=DATE3,SUM(IF((INDEX(INDEX,,1)=A20)*(INDEX(INDEX,3,)="TP01"),INDEX(INDEX,,),0)),"")</f>
        <v>128.6</v>
      </c>
      <c r="C20" s="33" cm="1">
        <f t="array" ref="C20">IF(A20&lt;=DATE3,SUM(IF((INDEX(INDEX,,1)=A20)*(INDEX(INDEX,3,)=C14),INDEX(INDEX,,),0)),"")</f>
        <v>131.1</v>
      </c>
      <c r="D20" cm="1">
        <f t="array" ref="D20">IF($A20&lt;=DATE4,SUM(IF((INDEX(INDICES,,1)=$A20)*(INDEX(INDICES,5,)=D$14),INDEX(INDICES,,),0)),NA())</f>
        <v>122.9</v>
      </c>
      <c r="E20" cm="1">
        <f t="array" ref="E20">IF($A20&lt;=DATE4,SUM(IF((INDEX(INDICES,,1)=$A20)*(INDEX(INDICES,5,)=E$14),INDEX(INDICES,,),0)),NA())</f>
        <v>131.5</v>
      </c>
      <c r="F20" cm="1">
        <f t="array" ref="F20">IF($A20&lt;=DATE4,SUM(IF((INDEX(INDICES,,1)=$A20)*(INDEX(INDICES,5,)=F$14),INDEX(INDICES,,),0)),NA())</f>
        <v>129.1</v>
      </c>
      <c r="G20" cm="1">
        <f t="array" ref="G20">IF($A20&lt;=DATE4,SUM(IF((INDEX(INDICES,,1)=$A20)*(INDEX(INDICES,5,)=G$14),INDEX(INDICES,,),0)),NA())</f>
        <v>126.90355329949237</v>
      </c>
      <c r="H20" cm="1">
        <f t="array" ref="H20">IF($A20&lt;=DATE4,SUM(IF((INDEX(INDICES,,1)=$A20)*(INDEX(INDICES,5,)=H$14),INDEX(INDICES,,),0)),NA())</f>
        <v>89.421322187555191</v>
      </c>
      <c r="K20" t="str">
        <v>Transports routiers</v>
      </c>
      <c r="L20" s="38">
        <v>0.01</v>
      </c>
      <c r="M20" t="str">
        <v>Frais divers</v>
      </c>
      <c r="N20">
        <v>0.01</v>
      </c>
      <c r="P20" t="s">
        <v>51</v>
      </c>
      <c r="Q20" t="str">
        <v>Frais divers</v>
      </c>
      <c r="R20" s="20">
        <v>1.6891891891890332E-3</v>
      </c>
      <c r="S20" s="20">
        <v>1.1082693947144007E-2</v>
      </c>
      <c r="T20" s="21"/>
    </row>
    <row r="21" spans="1:20">
      <c r="A21" s="1">
        <f t="shared" si="0"/>
        <v>45139</v>
      </c>
      <c r="B21" cm="1">
        <f t="array" ref="B21">IF(A21&lt;=DATE3,SUM(IF((INDEX(INDEX,,1)=A21)*(INDEX(INDEX,3,)="TP01"),INDEX(INDEX,,),0)),"")</f>
        <v>129.19999999999999</v>
      </c>
      <c r="C21" s="33" cm="1">
        <f t="array" ref="C21">IF(A21&lt;=DATE3,SUM(IF((INDEX(INDEX,,1)=A21)*(INDEX(INDEX,3,)=C14),INDEX(INDEX,,),0)),"")</f>
        <v>131.5</v>
      </c>
      <c r="D21" cm="1">
        <f t="array" ref="D21">IF($A21&lt;=DATE4,SUM(IF((INDEX(INDICES,,1)=$A21)*(INDEX(INDICES,5,)=D$14),INDEX(INDICES,,),0)),NA())</f>
        <v>122.8</v>
      </c>
      <c r="E21" cm="1">
        <f t="array" ref="E21">IF($A21&lt;=DATE4,SUM(IF((INDEX(INDICES,,1)=$A21)*(INDEX(INDICES,5,)=E$14),INDEX(INDICES,,),0)),NA())</f>
        <v>131.6</v>
      </c>
      <c r="F21" cm="1">
        <f t="array" ref="F21">IF($A21&lt;=DATE4,SUM(IF((INDEX(INDICES,,1)=$A21)*(INDEX(INDICES,5,)=F$14),INDEX(INDICES,,),0)),NA())</f>
        <v>143.19999999999999</v>
      </c>
      <c r="G21" cm="1">
        <f t="array" ref="G21">IF($A21&lt;=DATE4,SUM(IF((INDEX(INDICES,,1)=$A21)*(INDEX(INDICES,5,)=G$14),INDEX(INDICES,,),0)),NA())</f>
        <v>129.44162436548223</v>
      </c>
      <c r="H21" cm="1">
        <f t="array" ref="H21">IF($A21&lt;=DATE4,SUM(IF((INDEX(INDICES,,1)=$A21)*(INDEX(INDICES,5,)=H$14),INDEX(INDICES,,),0)),NA())</f>
        <v>87.419791605345253</v>
      </c>
      <c r="K21" t="str">
        <v>Travail activités spécialisées</v>
      </c>
      <c r="L21" s="38">
        <v>0</v>
      </c>
      <c r="M21" t="str">
        <v>Transports routiers</v>
      </c>
      <c r="N21">
        <v>0.01</v>
      </c>
      <c r="P21" t="s">
        <v>52</v>
      </c>
      <c r="Q21" t="str">
        <v>Transports routiers</v>
      </c>
      <c r="R21" s="20">
        <v>1.7813765182186359E-2</v>
      </c>
      <c r="S21" s="20">
        <v>1.3709677419354804E-2</v>
      </c>
      <c r="T21" s="21"/>
    </row>
    <row r="22" spans="1:20">
      <c r="A22" s="1">
        <f t="shared" si="0"/>
        <v>45170</v>
      </c>
      <c r="B22" cm="1">
        <f t="array" ref="B22">IF(A22&lt;=DATE3,SUM(IF((INDEX(INDEX,,1)=A22)*(INDEX(INDEX,3,)="TP01"),INDEX(INDEX,,),0)),"")</f>
        <v>130.80000000000001</v>
      </c>
      <c r="C22" s="33" cm="1">
        <f t="array" ref="C22">IF(A22&lt;=DATE3,SUM(IF((INDEX(INDEX,,1)=A22)*(INDEX(INDEX,3,)=C14),INDEX(INDEX,,),0)),"")</f>
        <v>131.30000000000001</v>
      </c>
      <c r="D22" cm="1">
        <f t="array" ref="D22">IF($A22&lt;=DATE4,SUM(IF((INDEX(INDICES,,1)=$A22)*(INDEX(INDICES,5,)=D$14),INDEX(INDICES,,),0)),NA())</f>
        <v>123.5</v>
      </c>
      <c r="E22" cm="1">
        <f t="array" ref="E22">IF($A22&lt;=DATE4,SUM(IF((INDEX(INDICES,,1)=$A22)*(INDEX(INDICES,5,)=E$14),INDEX(INDICES,,),0)),NA())</f>
        <v>131.69999999999999</v>
      </c>
      <c r="F22" cm="1">
        <f t="array" ref="F22">IF($A22&lt;=DATE4,SUM(IF((INDEX(INDICES,,1)=$A22)*(INDEX(INDICES,5,)=F$14),INDEX(INDICES,,),0)),NA())</f>
        <v>151.1</v>
      </c>
      <c r="G22" cm="1">
        <f t="array" ref="G22">IF($A22&lt;=DATE4,SUM(IF((INDEX(INDICES,,1)=$A22)*(INDEX(INDICES,5,)=G$14),INDEX(INDICES,,),0)),NA())</f>
        <v>127.27956382778717</v>
      </c>
      <c r="H22" cm="1">
        <f t="array" ref="H22">IF($A22&lt;=DATE4,SUM(IF((INDEX(INDICES,,1)=$A22)*(INDEX(INDICES,5,)=H$14),INDEX(INDICES,,),0)),NA())</f>
        <v>86.360157767704706</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-0.12597741094700277</v>
      </c>
      <c r="S22" s="20">
        <v>-0.24981357196122311</v>
      </c>
      <c r="T22" s="21"/>
    </row>
    <row r="23" spans="1:20">
      <c r="A23" s="1">
        <f t="shared" si="0"/>
        <v>45200</v>
      </c>
      <c r="B23" cm="1">
        <f t="array" ref="B23">IF(A23&lt;=DATE3,SUM(IF((INDEX(INDEX,,1)=A23)*(INDEX(INDEX,3,)="TP01"),INDEX(INDEX,,),0)),"")</f>
        <v>130.69999999999999</v>
      </c>
      <c r="C23" s="33" cm="1">
        <f t="array" ref="C23">IF(A23&lt;=DATE3,SUM(IF((INDEX(INDEX,,1)=A23)*(INDEX(INDEX,3,)=C14),INDEX(INDEX,,),0)),"")</f>
        <v>131.6</v>
      </c>
      <c r="D23" cm="1">
        <f t="array" ref="D23">IF($A23&lt;=DATE4,SUM(IF((INDEX(INDICES,,1)=$A23)*(INDEX(INDICES,5,)=D$14),INDEX(INDICES,,),0)),NA())</f>
        <v>123.3</v>
      </c>
      <c r="E23" cm="1">
        <f t="array" ref="E23">IF($A23&lt;=DATE4,SUM(IF((INDEX(INDICES,,1)=$A23)*(INDEX(INDICES,5,)=E$14),INDEX(INDICES,,),0)),NA())</f>
        <v>131.9</v>
      </c>
      <c r="F23" cm="1">
        <f t="array" ref="F23">IF($A23&lt;=DATE4,SUM(IF((INDEX(INDICES,,1)=$A23)*(INDEX(INDICES,5,)=F$14),INDEX(INDICES,,),0)),NA())</f>
        <v>146.5</v>
      </c>
      <c r="G23" cm="1">
        <f t="array" ref="G23">IF($A23&lt;=DATE4,SUM(IF((INDEX(INDICES,,1)=$A23)*(INDEX(INDICES,5,)=G$14),INDEX(INDICES,,),0)),NA())</f>
        <v>128.50159804474524</v>
      </c>
      <c r="H23" cm="1">
        <f t="array" ref="H23">IF($A23&lt;=DATE4,SUM(IF((INDEX(INDICES,,1)=$A23)*(INDEX(INDICES,5,)=H$14),INDEX(INDICES,,),0)),NA())</f>
        <v>86.831106139989402</v>
      </c>
      <c r="K23" t="str">
        <v>Gaz naturel</v>
      </c>
      <c r="L23" s="38">
        <v>0</v>
      </c>
      <c r="M23" t="str">
        <v>Tubes, tuyaux en matière plastique</v>
      </c>
      <c r="N23">
        <v>0.01</v>
      </c>
      <c r="P23">
        <v>10764297</v>
      </c>
      <c r="Q23" t="str">
        <v>Gaz naturel</v>
      </c>
      <c r="R23" s="20">
        <v>-0.33551769331585823</v>
      </c>
      <c r="S23" s="20">
        <v>5.9523809523811533E-3</v>
      </c>
      <c r="T23" s="21"/>
    </row>
    <row r="24" spans="1:20">
      <c r="A24" s="1">
        <f t="shared" si="0"/>
        <v>45231</v>
      </c>
      <c r="B24" cm="1">
        <f t="array" ref="B24">IF(A24&lt;=DATE3,SUM(IF((INDEX(INDEX,,1)=A24)*(INDEX(INDEX,3,)="TP01"),INDEX(INDEX,,),0)),"")</f>
        <v>130.30000000000001</v>
      </c>
      <c r="C24" s="33" cm="1">
        <f t="array" ref="C24">IF(A24&lt;=DATE3,SUM(IF((INDEX(INDEX,,1)=A24)*(INDEX(INDEX,3,)=C14),INDEX(INDEX,,),0)),"")</f>
        <v>132.6</v>
      </c>
      <c r="D24" cm="1">
        <f t="array" ref="D24">IF($A24&lt;=DATE4,SUM(IF((INDEX(INDICES,,1)=$A24)*(INDEX(INDICES,5,)=D$14),INDEX(INDICES,,),0)),NA())</f>
        <v>123</v>
      </c>
      <c r="E24" cm="1">
        <f t="array" ref="E24">IF($A24&lt;=DATE4,SUM(IF((INDEX(INDICES,,1)=$A24)*(INDEX(INDICES,5,)=E$14),INDEX(INDICES,,),0)),NA())</f>
        <v>132.1</v>
      </c>
      <c r="F24" cm="1">
        <f t="array" ref="F24">IF($A24&lt;=DATE4,SUM(IF((INDEX(INDICES,,1)=$A24)*(INDEX(INDICES,5,)=F$14),INDEX(INDICES,,),0)),NA())</f>
        <v>139.4</v>
      </c>
      <c r="G24" cm="1">
        <f t="array" ref="G24">IF($A24&lt;=DATE4,SUM(IF((INDEX(INDICES,,1)=$A24)*(INDEX(INDICES,5,)=G$14),INDEX(INDICES,,),0)),NA())</f>
        <v>128.50159804474524</v>
      </c>
      <c r="H24" cm="1">
        <f t="array" ref="H24">IF($A24&lt;=DATE4,SUM(IF((INDEX(INDICES,,1)=$A24)*(INDEX(INDICES,5,)=H$14),INDEX(INDICES,,),0)),NA())</f>
        <v>88.3</v>
      </c>
      <c r="K24" t="str">
        <v>Gazole routier HTT</v>
      </c>
      <c r="L24" s="38">
        <v>0</v>
      </c>
      <c r="M24" t="str">
        <v>Ensemble des produits du sciage</v>
      </c>
      <c r="N24">
        <v>0.01</v>
      </c>
      <c r="P24" t="s">
        <v>55</v>
      </c>
      <c r="Q24" t="str">
        <v>Gazole routier HTT</v>
      </c>
      <c r="R24" s="20">
        <v>-4.2378998190626294E-2</v>
      </c>
      <c r="S24" s="20">
        <v>-0.11250648078806358</v>
      </c>
      <c r="T24" s="21"/>
    </row>
    <row r="25" spans="1:20">
      <c r="A25" s="1">
        <f t="shared" si="0"/>
        <v>45261</v>
      </c>
      <c r="B25" cm="1">
        <f t="array" ref="B25">IF(A25&lt;=DATE3,SUM(IF((INDEX(INDEX,,1)=A25)*(INDEX(INDEX,3,)="TP01"),INDEX(INDEX,,),0)),"")</f>
        <v>129.6</v>
      </c>
      <c r="C25" s="33" cm="1">
        <f t="array" ref="C25">IF(A25&lt;=DATE3,SUM(IF((INDEX(INDEX,,1)=A25)*(INDEX(INDEX,3,)=C14),INDEX(INDEX,,),0)),"")</f>
        <v>133.69999999999999</v>
      </c>
      <c r="D25" cm="1">
        <f t="array" ref="D25">IF($A25&lt;=DATE4,SUM(IF((INDEX(INDICES,,1)=$A25)*(INDEX(INDICES,5,)=D$14),INDEX(INDICES,,),0)),NA())</f>
        <v>124.2</v>
      </c>
      <c r="E25" cm="1">
        <f t="array" ref="E25">IF($A25&lt;=DATE4,SUM(IF((INDEX(INDICES,,1)=$A25)*(INDEX(INDICES,5,)=E$14),INDEX(INDICES,,),0)),NA())</f>
        <v>132.30000000000001</v>
      </c>
      <c r="F25" cm="1">
        <f t="array" ref="F25">IF($A25&lt;=DATE4,SUM(IF((INDEX(INDICES,,1)=$A25)*(INDEX(INDICES,5,)=F$14),INDEX(INDICES,,),0)),NA())</f>
        <v>132</v>
      </c>
      <c r="G25" cm="1">
        <f t="array" ref="G25">IF($A25&lt;=DATE4,SUM(IF((INDEX(INDICES,,1)=$A25)*(INDEX(INDICES,5,)=G$14),INDEX(INDICES,,),0)),NA())</f>
        <v>128.6</v>
      </c>
      <c r="H25" cm="1">
        <f t="array" ref="H25">IF($A25&lt;=DATE4,SUM(IF((INDEX(INDICES,,1)=$A25)*(INDEX(INDICES,5,)=H$14),INDEX(INDICES,,),0)),NA())</f>
        <v>89.3</v>
      </c>
      <c r="K25" t="str">
        <v>Tubes, tuyaux en matière plastique</v>
      </c>
      <c r="L25" s="38">
        <v>0.01</v>
      </c>
      <c r="M25" t="str">
        <v>Traitement et élimination des déchets non dangereux</v>
      </c>
      <c r="N25">
        <v>0.01</v>
      </c>
      <c r="P25">
        <v>10763845</v>
      </c>
      <c r="Q25" t="str">
        <v>Tubes, tuyaux en matière plastique</v>
      </c>
      <c r="R25" s="20">
        <v>-1.0329562223315381E-2</v>
      </c>
      <c r="S25" s="20">
        <v>-7.5792374827744591E-2</v>
      </c>
      <c r="T25" s="21"/>
    </row>
    <row r="26" spans="1:20">
      <c r="A26" s="1">
        <f t="shared" si="0"/>
        <v>45292</v>
      </c>
      <c r="B26" cm="1">
        <f t="array" ref="B26">IF(A26&lt;=DATE3,SUM(IF((INDEX(INDEX,,1)=A26)*(INDEX(INDEX,3,)="TP01"),INDEX(INDEX,,),0)),"")</f>
        <v>129.6</v>
      </c>
      <c r="C26" s="33" cm="1">
        <f t="array" ref="C26">IF(A26&lt;=DATE3,SUM(IF((INDEX(INDEX,,1)=A26)*(INDEX(INDEX,3,)=C14),INDEX(INDEX,,),0)),"")</f>
        <v>134</v>
      </c>
      <c r="D26" cm="1">
        <f t="array" ref="D26">IF($A26&lt;=DATE4,SUM(IF((INDEX(INDICES,,1)=$A26)*(INDEX(INDICES,5,)=D$14),INDEX(INDICES,,),0)),NA())</f>
        <v>124</v>
      </c>
      <c r="E26" cm="1">
        <f t="array" ref="E26">IF($A26&lt;=DATE4,SUM(IF((INDEX(INDICES,,1)=$A26)*(INDEX(INDICES,5,)=E$14),INDEX(INDICES,,),0)),NA())</f>
        <v>132.5</v>
      </c>
      <c r="F26" cm="1">
        <f t="array" ref="F26">IF($A26&lt;=DATE4,SUM(IF((INDEX(INDICES,,1)=$A26)*(INDEX(INDICES,5,)=F$14),INDEX(INDICES,,),0)),NA())</f>
        <v>146.30000000000001</v>
      </c>
      <c r="G26" cm="1">
        <f t="array" ref="G26">IF($A26&lt;=DATE4,SUM(IF((INDEX(INDICES,,1)=$A26)*(INDEX(INDICES,5,)=G$14),INDEX(INDICES,,),0)),NA())</f>
        <v>129.19999999999999</v>
      </c>
      <c r="H26" cm="1">
        <f t="array" ref="H26">IF($A26&lt;=DATE4,SUM(IF((INDEX(INDICES,,1)=$A26)*(INDEX(INDICES,5,)=H$14),INDEX(INDICES,,),0)),NA())</f>
        <v>90.3</v>
      </c>
      <c r="K26" t="str">
        <v>Ensemble des produits du sciage</v>
      </c>
      <c r="L26" s="38">
        <v>0.01</v>
      </c>
      <c r="M26" t="str">
        <v>Gazole</v>
      </c>
      <c r="N26">
        <v>0</v>
      </c>
      <c r="P26" t="s">
        <v>283</v>
      </c>
      <c r="Q26" t="str">
        <v>Ensemble des produits du sciage</v>
      </c>
      <c r="R26" s="20">
        <v>2.6600541027953062E-2</v>
      </c>
      <c r="S26" s="20">
        <v>6.5014031805425532E-2</v>
      </c>
      <c r="T26" s="21"/>
    </row>
    <row r="27" spans="1:20">
      <c r="A27" s="1">
        <f t="shared" si="0"/>
        <v>45323</v>
      </c>
      <c r="B27" cm="1">
        <f t="array" ref="B27">IF(A27&lt;=DATE3,SUM(IF((INDEX(INDEX,,1)=A27)*(INDEX(INDEX,3,)="TP01"),INDEX(INDEX,,),0)),"")</f>
        <v>129.9</v>
      </c>
      <c r="C27" s="33" cm="1">
        <f t="array" ref="C27">IF(A27&lt;=DATE3,SUM(IF((INDEX(INDEX,,1)=A27)*(INDEX(INDEX,3,)=C14),INDEX(INDEX,,),0)),"")</f>
        <v>133.6</v>
      </c>
      <c r="D27" cm="1">
        <f t="array" ref="D27">IF($A27&lt;=DATE4,SUM(IF((INDEX(INDICES,,1)=$A27)*(INDEX(INDICES,5,)=D$14),INDEX(INDICES,,),0)),NA())</f>
        <v>124.1</v>
      </c>
      <c r="E27" cm="1">
        <f t="array" ref="E27">IF($A27&lt;=DATE4,SUM(IF((INDEX(INDICES,,1)=$A27)*(INDEX(INDICES,5,)=E$14),INDEX(INDICES,,),0)),NA())</f>
        <v>132.69999999999999</v>
      </c>
      <c r="F27" cm="1">
        <f t="array" ref="F27">IF($A27&lt;=DATE4,SUM(IF((INDEX(INDICES,,1)=$A27)*(INDEX(INDICES,5,)=F$14),INDEX(INDICES,,),0)),NA())</f>
        <v>152.9</v>
      </c>
      <c r="G27" cm="1">
        <f t="array" ref="G27">IF($A27&lt;=DATE4,SUM(IF((INDEX(INDICES,,1)=$A27)*(INDEX(INDICES,5,)=G$14),INDEX(INDICES,,),0)),NA())</f>
        <v>130.4</v>
      </c>
      <c r="H27" cm="1">
        <f t="array" ref="H27">IF($A27&lt;=DATE4,SUM(IF((INDEX(INDICES,,1)=$A27)*(INDEX(INDICES,5,)=H$14),INDEX(INDICES,,),0)),NA())</f>
        <v>91.2</v>
      </c>
      <c r="I27" s="32"/>
      <c r="K27" t="str">
        <v>Béton prêt à l'emploi</v>
      </c>
      <c r="L27" s="38">
        <v>0.12</v>
      </c>
      <c r="M27" t="str">
        <v>Travail activités spécialisées</v>
      </c>
      <c r="N27">
        <v>0</v>
      </c>
      <c r="P27">
        <v>10764180</v>
      </c>
      <c r="Q27" t="str">
        <v>Béton prêt à l'emploi</v>
      </c>
      <c r="R27" s="20">
        <v>2.1423106350420884E-2</v>
      </c>
      <c r="S27" s="20">
        <v>2.8505392912172578E-2</v>
      </c>
      <c r="T27" s="21"/>
    </row>
    <row r="28" spans="1:20">
      <c r="A28" s="1">
        <f t="shared" si="0"/>
        <v>45352</v>
      </c>
      <c r="B28" cm="1">
        <f t="array" ref="B28">IF(A28&lt;=DATE3,SUM(IF((INDEX(INDEX,,1)=A28)*(INDEX(INDEX,3,)="TP01"),INDEX(INDEX,,),0)),"")</f>
        <v>130.1</v>
      </c>
      <c r="C28" s="33" cm="1">
        <f t="array" ref="C28">IF(A28&lt;=DATE3,SUM(IF((INDEX(INDEX,,1)=A28)*(INDEX(INDEX,3,)=C14),INDEX(INDEX,,),0)),"")</f>
        <v>133.80000000000001</v>
      </c>
      <c r="D28" cm="1">
        <f t="array" ref="D28">IF($A28&lt;=DATE4,SUM(IF((INDEX(INDICES,,1)=$A28)*(INDEX(INDICES,5,)=D$14),INDEX(INDICES,,),0)),NA())</f>
        <v>124.5</v>
      </c>
      <c r="E28" cm="1">
        <f t="array" ref="E28">IF($A28&lt;=DATE4,SUM(IF((INDEX(INDICES,,1)=$A28)*(INDEX(INDICES,5,)=E$14),INDEX(INDICES,,),0)),NA())</f>
        <v>132.9</v>
      </c>
      <c r="F28" cm="1">
        <f t="array" ref="F28">IF($A28&lt;=DATE4,SUM(IF((INDEX(INDICES,,1)=$A28)*(INDEX(INDICES,5,)=F$14),INDEX(INDICES,,),0)),NA())</f>
        <v>149.80000000000001</v>
      </c>
      <c r="G28" cm="1">
        <f t="array" ref="G28">IF($A28&lt;=DATE4,SUM(IF((INDEX(INDICES,,1)=$A28)*(INDEX(INDICES,5,)=G$14),INDEX(INDICES,,),0)),NA())</f>
        <v>129.4</v>
      </c>
      <c r="H28" cm="1">
        <f t="array" ref="H28">IF($A28&lt;=DATE4,SUM(IF((INDEX(INDICES,,1)=$A28)*(INDEX(INDICES,5,)=H$14),INDEX(INDICES,,),0)),NA())</f>
        <v>90.7</v>
      </c>
      <c r="K28" t="str">
        <v>Barres crénelées ou nervurées pour béton armé</v>
      </c>
      <c r="L28" s="38">
        <v>0.1</v>
      </c>
      <c r="M28" t="str">
        <v>Gaz naturel</v>
      </c>
      <c r="N28">
        <v>0</v>
      </c>
      <c r="P28">
        <v>10766236</v>
      </c>
      <c r="Q28" t="str">
        <v>Barres crénelées ou nervurées pour béton armé</v>
      </c>
      <c r="R28" s="20">
        <v>-1.2658227848101333E-2</v>
      </c>
      <c r="S28" s="20">
        <v>-5.4545454545454564E-2</v>
      </c>
      <c r="T28" s="21"/>
    </row>
    <row r="29" spans="1:20">
      <c r="A29" s="1">
        <f t="shared" si="0"/>
        <v>45383</v>
      </c>
      <c r="B29" cm="1">
        <f t="array" ref="B29">IF(A29&lt;=DATE3,SUM(IF((INDEX(INDEX,,1)=A29)*(INDEX(INDEX,3,)="TP01"),INDEX(INDEX,,),0)),"")</f>
        <v>130.30000000000001</v>
      </c>
      <c r="C29" s="33" cm="1">
        <f t="array" ref="C29">IF(A29&lt;=DATE3,SUM(IF((INDEX(INDEX,,1)=A29)*(INDEX(INDEX,3,)=C14),INDEX(INDEX,,),0)),"")</f>
        <v>133.4</v>
      </c>
      <c r="D29" cm="1">
        <f t="array" ref="D29">IF($A29&lt;=DATE4,SUM(IF((INDEX(INDICES,,1)=$A29)*(INDEX(INDICES,5,)=D$14),INDEX(INDICES,,),0)),NA())</f>
        <v>125</v>
      </c>
      <c r="E29" cm="1">
        <f t="array" ref="E29">IF($A29&lt;=DATE4,SUM(IF((INDEX(INDICES,,1)=$A29)*(INDEX(INDICES,5,)=E$14),INDEX(INDICES,,),0)),NA())</f>
        <v>133.30000000000001</v>
      </c>
      <c r="F29" cm="1">
        <f t="array" ref="F29">IF($A29&lt;=DATE4,SUM(IF((INDEX(INDICES,,1)=$A29)*(INDEX(INDICES,5,)=F$14),INDEX(INDICES,,),0)),NA())</f>
        <v>147.9</v>
      </c>
      <c r="G29" cm="1">
        <f t="array" ref="G29">IF($A29&lt;=DATE4,SUM(IF((INDEX(INDICES,,1)=$A29)*(INDEX(INDICES,5,)=G$14),INDEX(INDICES,,),0)),NA())</f>
        <v>129.69999999999999</v>
      </c>
      <c r="H29" cm="1">
        <f t="array" ref="H29">IF($A29&lt;=DATE4,SUM(IF((INDEX(INDICES,,1)=$A29)*(INDEX(INDICES,5,)=H$14),INDEX(INDICES,,),0)),NA())</f>
        <v>89.2</v>
      </c>
      <c r="K29" t="str">
        <v>Sables et granulats</v>
      </c>
      <c r="L29" s="38">
        <v>0</v>
      </c>
      <c r="M29" t="str">
        <v>Gazole routier HTT</v>
      </c>
      <c r="N29">
        <v>0</v>
      </c>
      <c r="P29" s="33" t="s">
        <v>319</v>
      </c>
      <c r="Q29" t="str">
        <v>Sables et granulats</v>
      </c>
      <c r="R29" s="20">
        <v>5.1391862955032508E-3</v>
      </c>
      <c r="S29" s="20">
        <v>-2.9736618521666314E-3</v>
      </c>
      <c r="T29" s="21"/>
    </row>
    <row r="30" spans="1:20">
      <c r="A30" s="1">
        <f t="shared" si="0"/>
        <v>45413</v>
      </c>
      <c r="B30" cm="1">
        <f t="array" ref="B30">IF(A30&lt;=DATE3,SUM(IF((INDEX(INDEX,,1)=A30)*(INDEX(INDEX,3,)="TP01"),INDEX(INDEX,,),0)),"")</f>
        <v>130.1</v>
      </c>
      <c r="C30" s="33" cm="1">
        <f t="array" ref="C30">IF(A30&lt;=DATE3,SUM(IF((INDEX(INDEX,,1)=A30)*(INDEX(INDEX,3,)=C14),INDEX(INDEX,,),0)),"")</f>
        <v>132.5</v>
      </c>
      <c r="D30" cm="1">
        <f t="array" ref="D30">IF($A30&lt;=DATE4,SUM(IF((INDEX(INDICES,,1)=$A30)*(INDEX(INDICES,5,)=D$14),INDEX(INDICES,,),0)),NA())</f>
        <v>124.9</v>
      </c>
      <c r="E30" cm="1">
        <f t="array" ref="E30">IF($A30&lt;=DATE4,SUM(IF((INDEX(INDICES,,1)=$A30)*(INDEX(INDICES,5,)=E$14),INDEX(INDICES,,),0)),NA())</f>
        <v>133.69999999999999</v>
      </c>
      <c r="F30" cm="1">
        <f t="array" ref="F30">IF($A30&lt;=DATE4,SUM(IF((INDEX(INDICES,,1)=$A30)*(INDEX(INDICES,5,)=F$14),INDEX(INDICES,,),0)),NA())</f>
        <v>141.19999999999999</v>
      </c>
      <c r="G30" cm="1">
        <f t="array" ref="G30">IF($A30&lt;=DATE4,SUM(IF((INDEX(INDICES,,1)=$A30)*(INDEX(INDICES,5,)=G$14),INDEX(INDICES,,),0)),NA())</f>
        <v>129</v>
      </c>
      <c r="H30" cm="1">
        <f t="array" ref="H30">IF($A30&lt;=DATE4,SUM(IF((INDEX(INDICES,,1)=$A30)*(INDEX(INDICES,5,)=H$14),INDEX(INDICES,,),0)),NA())</f>
        <v>89</v>
      </c>
      <c r="K30" t="str">
        <v>Plaques, feuilles, tubes et profilés en matières plastiques</v>
      </c>
      <c r="L30" s="38">
        <v>0</v>
      </c>
      <c r="M30" t="str">
        <v>Sables et granulats</v>
      </c>
      <c r="N30">
        <v>0</v>
      </c>
      <c r="P30">
        <v>10764160</v>
      </c>
      <c r="Q30" t="str">
        <v>Plaques, feuilles, tubes et profilés en matières plastiques</v>
      </c>
      <c r="R30" s="20">
        <v>-2.9864675688287434E-2</v>
      </c>
      <c r="S30" s="20">
        <v>-2.9864675688287434E-2</v>
      </c>
      <c r="T30" s="21"/>
    </row>
    <row r="31" spans="1:20">
      <c r="A31" s="1">
        <f t="shared" si="0"/>
        <v>45444</v>
      </c>
      <c r="B31" cm="1">
        <f t="array" ref="B31">IF(A31&lt;=DATE3,SUM(IF((INDEX(INDEX,,1)=A31)*(INDEX(INDEX,3,)="TP01"),INDEX(INDEX,,),0)),"")</f>
        <v>129.80000000000001</v>
      </c>
      <c r="C31" s="33" cm="1">
        <f t="array" ref="C31">IF(A31&lt;=DATE3,SUM(IF((INDEX(INDEX,,1)=A31)*(INDEX(INDEX,3,)=C14),INDEX(INDEX,,),0)),"")</f>
        <v>132.1</v>
      </c>
      <c r="D31" cm="1">
        <f t="array" ref="D31">IF($A31&lt;=DATE4,SUM(IF((INDEX(INDICES,,1)=$A31)*(INDEX(INDICES,5,)=D$14),INDEX(INDICES,,),0)),NA())</f>
        <v>125</v>
      </c>
      <c r="E31" cm="1">
        <f t="array" ref="E31">IF($A31&lt;=DATE4,SUM(IF((INDEX(INDICES,,1)=$A31)*(INDEX(INDICES,5,)=E$14),INDEX(INDICES,,),0)),NA())</f>
        <v>134</v>
      </c>
      <c r="F31" cm="1">
        <f t="array" ref="F31">IF($A31&lt;=DATE4,SUM(IF((INDEX(INDICES,,1)=$A31)*(INDEX(INDICES,5,)=F$14),INDEX(INDICES,,),0)),NA())</f>
        <v>142.19999999999999</v>
      </c>
      <c r="G31" cm="1">
        <f t="array" ref="G31">IF($A31&lt;=DATE4,SUM(IF((INDEX(INDICES,,1)=$A31)*(INDEX(INDICES,5,)=G$14),INDEX(INDICES,,),0)),NA())</f>
        <v>128.5</v>
      </c>
      <c r="H31" cm="1">
        <f t="array" ref="H31">IF($A31&lt;=DATE4,SUM(IF((INDEX(INDICES,,1)=$A31)*(INDEX(INDICES,5,)=H$14),INDEX(INDICES,,),0)),NA())</f>
        <v>88.3</v>
      </c>
      <c r="K31" t="str">
        <v>Ciment, chaux et plâtre</v>
      </c>
      <c r="L31" s="38">
        <v>0</v>
      </c>
      <c r="M31" t="str">
        <v>Plaques, feuilles, tubes et profilés en matières plastiques</v>
      </c>
      <c r="N31">
        <v>0</v>
      </c>
      <c r="P31">
        <v>10764176</v>
      </c>
      <c r="Q31" t="str">
        <v>Ciment, chaux et plâtre</v>
      </c>
      <c r="R31" s="20">
        <v>1.9741320626276426E-2</v>
      </c>
      <c r="S31" s="20">
        <v>3.345981372887219E-2</v>
      </c>
      <c r="T31" s="21"/>
    </row>
    <row r="32" spans="1:20">
      <c r="A32" s="1">
        <f t="shared" si="0"/>
        <v>45474</v>
      </c>
      <c r="B32" cm="1">
        <f t="array" ref="B32">IF(A32&lt;=DATE3,SUM(IF((INDEX(INDEX,,1)=A32)*(INDEX(INDEX,3,)="TP01"),INDEX(INDEX,,),0)),"")</f>
        <v>129.9</v>
      </c>
      <c r="C32" s="33" cm="1">
        <f t="array" ref="C32">IF(A32&lt;=DATE3,SUM(IF((INDEX(INDEX,,1)=A32)*(INDEX(INDEX,3,)=C14),INDEX(INDEX,,),0)),"")</f>
        <v>132.30000000000001</v>
      </c>
      <c r="D32" cm="1">
        <f t="array" ref="D32">IF($A32&lt;=DATE4,SUM(IF((INDEX(INDICES,,1)=$A32)*(INDEX(INDICES,5,)=D$14),INDEX(INDICES,,),0)),NA())</f>
        <v>125</v>
      </c>
      <c r="E32" cm="1">
        <f t="array" ref="E32">IF($A32&lt;=DATE4,SUM(IF((INDEX(INDICES,,1)=$A32)*(INDEX(INDICES,5,)=E$14),INDEX(INDICES,,),0)),NA())</f>
        <v>134.6</v>
      </c>
      <c r="F32" cm="1">
        <f t="array" ref="F32">IF($A32&lt;=DATE4,SUM(IF((INDEX(INDICES,,1)=$A32)*(INDEX(INDICES,5,)=F$14),INDEX(INDICES,,),0)),NA())</f>
        <v>140</v>
      </c>
      <c r="G32" cm="1">
        <f t="array" ref="G32">IF($A32&lt;=DATE4,SUM(IF((INDEX(INDICES,,1)=$A32)*(INDEX(INDICES,5,)=G$14),INDEX(INDICES,,),0)),NA())</f>
        <v>128.6</v>
      </c>
      <c r="H32" cm="1">
        <f t="array" ref="H32">IF($A32&lt;=DATE4,SUM(IF((INDEX(INDICES,,1)=$A32)*(INDEX(INDICES,5,)=H$14),INDEX(INDICES,,),0)),NA())</f>
        <v>88.3</v>
      </c>
      <c r="K32" t="str">
        <v>Autres produits chimiques</v>
      </c>
      <c r="L32" s="38">
        <v>0</v>
      </c>
      <c r="M32" t="str">
        <v>Ciment, chaux et plâtre</v>
      </c>
      <c r="N32">
        <v>0</v>
      </c>
      <c r="P32" s="169">
        <v>10764149</v>
      </c>
      <c r="Q32" t="str">
        <v>Autres produits chimiques</v>
      </c>
      <c r="R32" s="20">
        <v>-4.8284625158831029E-2</v>
      </c>
      <c r="S32" s="20">
        <v>3.1680440771349794E-2</v>
      </c>
      <c r="T32" s="21"/>
    </row>
    <row r="33" spans="1:20">
      <c r="A33" s="1">
        <f t="shared" si="0"/>
        <v>45505</v>
      </c>
      <c r="B33" cm="1">
        <f t="array" ref="B33">IF(A33&lt;=DATE3,SUM(IF((INDEX(INDEX,,1)=A33)*(INDEX(INDEX,3,)="TP01"),INDEX(INDEX,,),0)),"")</f>
        <v>130.1</v>
      </c>
      <c r="C33" s="33" cm="1">
        <f t="array" ref="C33">IF(A33&lt;=DATE3,SUM(IF((INDEX(INDEX,,1)=A33)*(INDEX(INDEX,3,)=C14),INDEX(INDEX,,),0)),"")</f>
        <v>132.80000000000001</v>
      </c>
      <c r="D33" cm="1">
        <f t="array" ref="D33">IF($A33&lt;=DATE4,SUM(IF((INDEX(INDICES,,1)=$A33)*(INDEX(INDICES,5,)=D$14),INDEX(INDICES,,),0)),NA())</f>
        <v>125.4</v>
      </c>
      <c r="E33" cm="1">
        <f t="array" ref="E33">IF($A33&lt;=DATE4,SUM(IF((INDEX(INDICES,,1)=$A33)*(INDEX(INDICES,5,)=E$14),INDEX(INDICES,,),0)),NA())</f>
        <v>135.1</v>
      </c>
      <c r="F33" cm="1">
        <f t="array" ref="F33">IF($A33&lt;=DATE4,SUM(IF((INDEX(INDICES,,1)=$A33)*(INDEX(INDICES,5,)=F$14),INDEX(INDICES,,),0)),NA())</f>
        <v>131.69999999999999</v>
      </c>
      <c r="G33" cm="1">
        <f t="array" ref="G33">IF($A33&lt;=DATE4,SUM(IF((INDEX(INDICES,,1)=$A33)*(INDEX(INDICES,5,)=G$14),INDEX(INDICES,,),0)),NA())</f>
        <v>129.19999999999999</v>
      </c>
      <c r="H33" cm="1">
        <f t="array" ref="H33">IF($A33&lt;=DATE4,SUM(IF((INDEX(INDICES,,1)=$A33)*(INDEX(INDICES,5,)=H$14),INDEX(INDICES,,),0)),NA())</f>
        <v>88.3</v>
      </c>
      <c r="K33" t="str">
        <v>Acier pour la construction</v>
      </c>
      <c r="L33" s="38">
        <v>0</v>
      </c>
      <c r="M33" t="str">
        <v>Autres produits chimiques</v>
      </c>
      <c r="N33">
        <v>0</v>
      </c>
      <c r="P33">
        <v>10765837</v>
      </c>
      <c r="Q33" t="str">
        <v>Acier pour la construction</v>
      </c>
      <c r="R33" s="20">
        <v>-1.2672176308540006E-2</v>
      </c>
      <c r="S33" s="20">
        <v>-4.9840933191940828E-2</v>
      </c>
      <c r="T33" s="21"/>
    </row>
    <row r="34" spans="1:20">
      <c r="A34" s="1">
        <f t="shared" si="0"/>
        <v>45536</v>
      </c>
      <c r="B34" cm="1">
        <f t="array" ref="B34">IF(A34&lt;=DATE3,SUM(IF((INDEX(INDEX,,1)=A34)*(INDEX(INDEX,3,)="TP01"),INDEX(INDEX,,),0)),"")</f>
        <v>129.1</v>
      </c>
      <c r="C34" s="33" cm="1">
        <f t="array" ref="C34">IF(A34&lt;=DATE3,SUM(IF((INDEX(INDEX,,1)=A34)*(INDEX(INDEX,3,)=C14),INDEX(INDEX,,),0)),"")</f>
        <v>133</v>
      </c>
      <c r="D34" cm="1">
        <f t="array" ref="D34">IF($A34&lt;=DATE4,SUM(IF((INDEX(INDICES,,1)=$A34)*(INDEX(INDICES,5,)=D$14),INDEX(INDICES,,),0)),NA())</f>
        <v>125.3</v>
      </c>
      <c r="E34" cm="1">
        <f t="array" ref="E34">IF($A34&lt;=DATE4,SUM(IF((INDEX(INDICES,,1)=$A34)*(INDEX(INDICES,5,)=E$14),INDEX(INDICES,,),0)),NA())</f>
        <v>135.69999999999999</v>
      </c>
      <c r="F34" cm="1">
        <f t="array" ref="F34">IF($A34&lt;=DATE4,SUM(IF((INDEX(INDICES,,1)=$A34)*(INDEX(INDICES,5,)=F$14),INDEX(INDICES,,),0)),NA())</f>
        <v>129.1</v>
      </c>
      <c r="G34" cm="1">
        <f t="array" ref="G34">IF($A34&lt;=DATE4,SUM(IF((INDEX(INDICES,,1)=$A34)*(INDEX(INDICES,5,)=G$14),INDEX(INDICES,,),0)),NA())</f>
        <v>128.1</v>
      </c>
      <c r="H34" cm="1">
        <f t="array" ref="H34">IF($A34&lt;=DATE4,SUM(IF((INDEX(INDICES,,1)=$A34)*(INDEX(INDICES,5,)=H$14),INDEX(INDICES,,),0)),NA())</f>
        <v>89.1</v>
      </c>
      <c r="K34" t="str">
        <v>Bitume</v>
      </c>
      <c r="L34" s="38">
        <v>0</v>
      </c>
      <c r="M34" t="str">
        <v>Acier pour la construction</v>
      </c>
      <c r="N34">
        <v>0</v>
      </c>
      <c r="P34">
        <v>10764136</v>
      </c>
      <c r="Q34" t="str">
        <v>Bitume</v>
      </c>
      <c r="R34" s="20">
        <v>-0.22037914691943117</v>
      </c>
      <c r="S34" s="20">
        <v>-0.12188612099644125</v>
      </c>
      <c r="T34" s="21"/>
    </row>
    <row r="35" spans="1:20">
      <c r="A35" s="1">
        <f t="shared" si="0"/>
        <v>45566</v>
      </c>
      <c r="B35" cm="1">
        <f t="array" ref="B35">IF(A35&lt;=DATE3,SUM(IF((INDEX(INDEX,,1)=A35)*(INDEX(INDEX,3,)="TP01"),INDEX(INDEX,,),0)),"")</f>
        <v>128.80000000000001</v>
      </c>
      <c r="C35" s="33" cm="1">
        <f t="array" ref="C35">IF(A35&lt;=DATE3,SUM(IF((INDEX(INDEX,,1)=A35)*(INDEX(INDEX,3,)=C14),INDEX(INDEX,,),0)),"")</f>
        <v>133.1</v>
      </c>
      <c r="D35" cm="1">
        <f t="array" ref="D35">IF($A35&lt;=DATE4,SUM(IF((INDEX(INDICES,,1)=$A35)*(INDEX(INDICES,5,)=D$14),INDEX(INDICES,,),0)),NA())</f>
        <v>125</v>
      </c>
      <c r="E35" cm="1">
        <f t="array" ref="E35">IF($A35&lt;=DATE4,SUM(IF((INDEX(INDICES,,1)=$A35)*(INDEX(INDICES,5,)=E$14),INDEX(INDICES,,),0)),NA())</f>
        <v>136.1</v>
      </c>
      <c r="F35" cm="1">
        <f t="array" ref="F35">IF($A35&lt;=DATE4,SUM(IF((INDEX(INDICES,,1)=$A35)*(INDEX(INDICES,5,)=F$14),INDEX(INDICES,,),0)),NA())</f>
        <v>132.19999999999999</v>
      </c>
      <c r="G35" cm="1">
        <f t="array" ref="G35">IF($A35&lt;=DATE4,SUM(IF((INDEX(INDICES,,1)=$A35)*(INDEX(INDICES,5,)=G$14),INDEX(INDICES,,),0)),NA())</f>
        <v>128.19999999999999</v>
      </c>
      <c r="H35" cm="1">
        <f t="array" ref="H35">IF($A35&lt;=DATE4,SUM(IF((INDEX(INDICES,,1)=$A35)*(INDEX(INDICES,5,)=H$14),INDEX(INDICES,,),0)),NA())</f>
        <v>86.4</v>
      </c>
      <c r="K35" t="str">
        <v>Produits de voierie en béton</v>
      </c>
      <c r="L35" s="38">
        <v>0</v>
      </c>
      <c r="M35" t="str">
        <v>Bitume</v>
      </c>
      <c r="N35">
        <v>0</v>
      </c>
      <c r="P35">
        <v>10763871</v>
      </c>
      <c r="Q35" t="str">
        <v>Produits de voierie en béton</v>
      </c>
      <c r="R35" s="20">
        <v>5.1181102362205522E-3</v>
      </c>
      <c r="S35" s="20">
        <v>5.5139818826310805E-3</v>
      </c>
      <c r="T35" s="21"/>
    </row>
    <row r="36" spans="1:20">
      <c r="A36" s="1">
        <f t="shared" si="0"/>
        <v>45597</v>
      </c>
      <c r="B36" cm="1">
        <f t="array" ref="B36">IF(A36&lt;=DATE3,SUM(IF((INDEX(INDEX,,1)=A36)*(INDEX(INDEX,3,)="TP01"),INDEX(INDEX,,),0)),"")</f>
        <v>130.19999999999999</v>
      </c>
      <c r="C36" s="33" cm="1">
        <f t="array" ref="C36">IF(A36&lt;=DATE3,SUM(IF((INDEX(INDEX,,1)=A36)*(INDEX(INDEX,3,)=C14),INDEX(INDEX,,),0)),"")</f>
        <v>133.6</v>
      </c>
      <c r="D36" cm="1">
        <f t="array" ref="D36">IF($A36&lt;=DATE4,SUM(IF((INDEX(INDICES,,1)=$A36)*(INDEX(INDICES,5,)=D$14),INDEX(INDICES,,),0)),NA())</f>
        <v>124.8</v>
      </c>
      <c r="E36" cm="1">
        <f t="array" ref="E36">IF($A36&lt;=DATE4,SUM(IF((INDEX(INDICES,,1)=$A36)*(INDEX(INDICES,5,)=E$14),INDEX(INDICES,,),0)),NA())</f>
        <v>136.5</v>
      </c>
      <c r="F36" cm="1">
        <f t="array" ref="F36">IF($A36&lt;=DATE4,SUM(IF((INDEX(INDICES,,1)=$A36)*(INDEX(INDICES,5,)=F$14),INDEX(INDICES,,),0)),NA())</f>
        <v>133.80000000000001</v>
      </c>
      <c r="G36" cm="1">
        <f t="array" ref="G36">IF($A36&lt;=DATE4,SUM(IF((INDEX(INDICES,,1)=$A36)*(INDEX(INDICES,5,)=G$14),INDEX(INDICES,,),0)),NA())</f>
        <v>127.7</v>
      </c>
      <c r="H36" cm="1">
        <f t="array" ref="H36">IF($A36&lt;=DATE4,SUM(IF((INDEX(INDICES,,1)=$A36)*(INDEX(INDICES,5,)=H$14),INDEX(INDICES,,),0)),NA())</f>
        <v>85.7</v>
      </c>
      <c r="K36" t="str">
        <v>Mortiers et bétons secs</v>
      </c>
      <c r="L36" s="38">
        <v>0</v>
      </c>
      <c r="M36" t="str">
        <v>Produits de voierie en béton</v>
      </c>
      <c r="N36">
        <v>0</v>
      </c>
      <c r="P36">
        <v>10764181</v>
      </c>
      <c r="Q36" t="str">
        <v>Mortiers et bétons secs</v>
      </c>
      <c r="R36" s="20">
        <v>-1.0789814415192112E-2</v>
      </c>
      <c r="S36" s="20">
        <v>-1.1216566005176953E-2</v>
      </c>
      <c r="T36" s="21"/>
    </row>
    <row r="37" spans="1:20">
      <c r="A37" s="1">
        <f t="shared" si="0"/>
        <v>45627</v>
      </c>
      <c r="B37" cm="1">
        <f t="array" ref="B37">IF(A37&lt;=DATE3,SUM(IF((INDEX(INDEX,,1)=A37)*(INDEX(INDEX,3,)="TP01"),INDEX(INDEX,,),0)),"")</f>
        <v>130.6</v>
      </c>
      <c r="C37" s="33" cm="1">
        <f t="array" ref="C37">IF(A37&lt;=DATE3,SUM(IF((INDEX(INDEX,,1)=A37)*(INDEX(INDEX,3,)=C14),INDEX(INDEX,,),0)),"")</f>
        <v>134.19999999999999</v>
      </c>
      <c r="D37" cm="1">
        <f t="array" ref="D37">IF($A37&lt;=DATE4,SUM(IF((INDEX(INDICES,,1)=$A37)*(INDEX(INDICES,5,)=D$14),INDEX(INDICES,,),0)),NA())</f>
        <v>124.9</v>
      </c>
      <c r="E37" cm="1">
        <f t="array" ref="E37">IF($A37&lt;=DATE4,SUM(IF((INDEX(INDICES,,1)=$A37)*(INDEX(INDICES,5,)=E$14),INDEX(INDICES,,),0)),NA())</f>
        <v>136.9</v>
      </c>
      <c r="F37" cm="1">
        <f t="array" ref="F37">IF($A37&lt;=DATE4,SUM(IF((INDEX(INDICES,,1)=$A37)*(INDEX(INDICES,5,)=F$14),INDEX(INDICES,,),0)),NA())</f>
        <v>135.5</v>
      </c>
      <c r="G37" cm="1">
        <f t="array" ref="G37">IF($A37&lt;=DATE4,SUM(IF((INDEX(INDICES,,1)=$A37)*(INDEX(INDICES,5,)=G$14),INDEX(INDICES,,),0)),NA())</f>
        <v>128.1</v>
      </c>
      <c r="H37" cm="1">
        <f t="array" ref="H37">IF($A37&lt;=DATE4,SUM(IF((INDEX(INDICES,,1)=$A37)*(INDEX(INDICES,5,)=H$14),INDEX(INDICES,,),0)),NA())</f>
        <v>85.8</v>
      </c>
      <c r="K37" t="str">
        <v>Travaux de fonderie de fonte</v>
      </c>
      <c r="L37" s="38">
        <v>0</v>
      </c>
      <c r="M37" t="str">
        <v>Mortiers et bétons secs</v>
      </c>
      <c r="N37">
        <v>0</v>
      </c>
      <c r="P37">
        <v>10764195</v>
      </c>
      <c r="Q37" t="str">
        <v>Travaux de fonderie de fonte</v>
      </c>
      <c r="R37" s="20">
        <v>3.1262211801486028E-3</v>
      </c>
      <c r="S37" s="20">
        <v>-2.3319082782742306E-3</v>
      </c>
      <c r="T37" s="21"/>
    </row>
    <row r="38" spans="1:20">
      <c r="A38" s="1">
        <f t="shared" si="0"/>
        <v>45658</v>
      </c>
      <c r="B38" cm="1">
        <f t="array" ref="B38">IF(A38&lt;=DATE3,SUM(IF((INDEX(INDEX,,1)=A38)*(INDEX(INDEX,3,)="TP01"),INDEX(INDEX,,),0)),"")</f>
        <v>131.9</v>
      </c>
      <c r="C38" s="33" cm="1">
        <f t="array" ref="C38">IF(A38&lt;=DATE3,SUM(IF((INDEX(INDEX,,1)=A38)*(INDEX(INDEX,3,)=C14),INDEX(INDEX,,),0)),"")</f>
        <v>135.1</v>
      </c>
      <c r="D38" cm="1">
        <f t="array" ref="D38">IF($A38&lt;=DATE4,SUM(IF((INDEX(INDICES,,1)=$A38)*(INDEX(INDICES,5,)=D$14),INDEX(INDICES,,),0)),NA())</f>
        <v>124.3</v>
      </c>
      <c r="E38" cm="1">
        <f t="array" ref="E38">IF($A38&lt;=DATE4,SUM(IF((INDEX(INDICES,,1)=$A38)*(INDEX(INDICES,5,)=E$14),INDEX(INDICES,,),0)),NA())</f>
        <v>137.19999999999999</v>
      </c>
      <c r="F38" cm="1">
        <f t="array" ref="F38">IF($A38&lt;=DATE4,SUM(IF((INDEX(INDICES,,1)=$A38)*(INDEX(INDICES,5,)=F$14),INDEX(INDICES,,),0)),NA())</f>
        <v>157.1</v>
      </c>
      <c r="G38" cm="1">
        <f t="array" ref="G38">IF($A38&lt;=DATE4,SUM(IF((INDEX(INDICES,,1)=$A38)*(INDEX(INDICES,5,)=G$14),INDEX(INDICES,,),0)),NA())</f>
        <v>131.19999999999999</v>
      </c>
      <c r="H38" cm="1">
        <f t="array" ref="H38">IF($A38&lt;=DATE4,SUM(IF((INDEX(INDICES,,1)=$A38)*(INDEX(INDICES,5,)=H$14),INDEX(INDICES,,),0)),NA())</f>
        <v>86.3</v>
      </c>
      <c r="K38" t="str">
        <v>Tuiles, briques et produits de construction en terre cuite</v>
      </c>
      <c r="L38" s="38">
        <v>0</v>
      </c>
      <c r="M38" t="str">
        <v>Travaux de fonderie de fonte</v>
      </c>
      <c r="N38">
        <v>0</v>
      </c>
      <c r="P38">
        <v>10764172</v>
      </c>
      <c r="Q38" t="str">
        <v>Tuiles, briques et produits de construction en terre cuite</v>
      </c>
      <c r="R38" s="20">
        <v>-1.145311381531855E-2</v>
      </c>
      <c r="S38" s="20">
        <v>-2.888086642599319E-3</v>
      </c>
      <c r="T38" s="21"/>
    </row>
    <row r="39" spans="1:20">
      <c r="A39" s="1">
        <f t="shared" si="0"/>
        <v>45689</v>
      </c>
      <c r="B39" cm="1">
        <f t="array" ref="B39">IF(A39&lt;=DATE3,SUM(IF((INDEX(INDEX,,1)=A39)*(INDEX(INDEX,3,)="TP01"),INDEX(INDEX,,),0)),"")</f>
        <v>132.19999999999999</v>
      </c>
      <c r="C39" s="33" cm="1">
        <f t="array" ref="C39">IF(A39&lt;=DATE3,SUM(IF((INDEX(INDEX,,1)=A39)*(INDEX(INDEX,3,)=C14),INDEX(INDEX,,),0)),"")</f>
        <v>135</v>
      </c>
      <c r="D39" cm="1">
        <f t="array" ref="D39">IF($A39&lt;=DATE4,SUM(IF((INDEX(INDICES,,1)=$A39)*(INDEX(INDICES,5,)=D$14),INDEX(INDICES,,),0)),NA())</f>
        <v>124.8</v>
      </c>
      <c r="E39" cm="1">
        <f t="array" ref="E39">IF($A39&lt;=DATE4,SUM(IF((INDEX(INDICES,,1)=$A39)*(INDEX(INDICES,5,)=E$14),INDEX(INDICES,,),0)),NA())</f>
        <v>137.4</v>
      </c>
      <c r="F39" cm="1">
        <f t="array" ref="F39">IF($A39&lt;=DATE4,SUM(IF((INDEX(INDICES,,1)=$A39)*(INDEX(INDICES,5,)=F$14),INDEX(INDICES,,),0)),NA())</f>
        <v>155.6</v>
      </c>
      <c r="G39" cm="1">
        <f t="array" ref="G39">IF($A39&lt;=DATE4,SUM(IF((INDEX(INDICES,,1)=$A39)*(INDEX(INDICES,5,)=G$14),INDEX(INDICES,,),0)),NA())</f>
        <v>130.19999999999999</v>
      </c>
      <c r="H39" cm="1">
        <f t="array" ref="H39">IF($A39&lt;=DATE4,SUM(IF((INDEX(INDICES,,1)=$A39)*(INDEX(INDICES,5,)=H$14),INDEX(INDICES,,),0)),NA())</f>
        <v>87.5</v>
      </c>
      <c r="K39" t="str">
        <v>Réseaux d’assainissement</v>
      </c>
      <c r="L39" s="38">
        <v>0</v>
      </c>
      <c r="M39" t="str">
        <v>Tuiles, briques et produits de construction en terre cuite</v>
      </c>
      <c r="N39">
        <v>0</v>
      </c>
      <c r="P39">
        <v>10766292</v>
      </c>
      <c r="Q39" t="str">
        <v>Réseaux d’assainissement</v>
      </c>
      <c r="R39" s="20">
        <v>3.910833007432224E-4</v>
      </c>
      <c r="S39" s="20">
        <v>3.1372549019608176E-3</v>
      </c>
      <c r="T39" s="21"/>
    </row>
    <row r="40" spans="1:20">
      <c r="A40" s="1">
        <f t="shared" si="0"/>
        <v>45717</v>
      </c>
      <c r="B40" cm="1">
        <f t="array" ref="B40">IF(A40&lt;=DATE3,SUM(IF((INDEX(INDEX,,1)=A40)*(INDEX(INDEX,3,)="TP01"),INDEX(INDEX,,),0)),"")</f>
        <v>131.69999999999999</v>
      </c>
      <c r="C40" s="33" cm="1">
        <f t="array" ref="C40">IF(A40&lt;=DATE3,SUM(IF((INDEX(INDEX,,1)=A40)*(INDEX(INDEX,3,)=C14),INDEX(INDEX,,),0)),"")</f>
        <v>135</v>
      </c>
      <c r="D40" cm="1">
        <f t="array" ref="D40">IF($A40&lt;=DATE4,SUM(IF((INDEX(INDICES,,1)=$A40)*(INDEX(INDICES,5,)=D$14),INDEX(INDICES,,),0)),NA())</f>
        <v>124.5</v>
      </c>
      <c r="E40" cm="1">
        <f t="array" ref="E40">IF($A40&lt;=DATE4,SUM(IF((INDEX(INDICES,,1)=$A40)*(INDEX(INDICES,5,)=E$14),INDEX(INDICES,,),0)),NA())</f>
        <v>137.6</v>
      </c>
      <c r="F40" cm="1">
        <f t="array" ref="F40">IF($A40&lt;=DATE4,SUM(IF((INDEX(INDICES,,1)=$A40)*(INDEX(INDICES,5,)=F$14),INDEX(INDICES,,),0)),NA())</f>
        <v>145.69999999999999</v>
      </c>
      <c r="G40" cm="1">
        <f t="array" ref="G40">IF($A40&lt;=DATE4,SUM(IF((INDEX(INDICES,,1)=$A40)*(INDEX(INDICES,5,)=G$14),INDEX(INDICES,,),0)),NA())</f>
        <v>130.1</v>
      </c>
      <c r="H40" cm="1">
        <f t="array" ref="H40">IF($A40&lt;=DATE4,SUM(IF((INDEX(INDICES,,1)=$A40)*(INDEX(INDICES,5,)=H$14),INDEX(INDICES,,),0)),NA())</f>
        <v>88.3</v>
      </c>
      <c r="K40" t="str">
        <v>Autres textiles</v>
      </c>
      <c r="L40" s="38">
        <v>0</v>
      </c>
      <c r="M40" t="str">
        <v>Réseaux d’assainissement</v>
      </c>
      <c r="N40">
        <v>0</v>
      </c>
      <c r="P40">
        <v>10764101</v>
      </c>
      <c r="Q40" t="str">
        <v>Autres textiles</v>
      </c>
      <c r="R40" s="20">
        <v>2.9986962190352129E-2</v>
      </c>
      <c r="S40" s="20">
        <v>5.1930758988016024E-2</v>
      </c>
      <c r="T40" s="21"/>
    </row>
    <row r="41" spans="1:20">
      <c r="A41" s="1">
        <f t="shared" si="0"/>
        <v>45748</v>
      </c>
      <c r="B41" cm="1">
        <f t="array" ref="B41">IF(A41&lt;=DATE3,SUM(IF((INDEX(INDEX,,1)=A41)*(INDEX(INDEX,3,)="TP01"),INDEX(INDEX,,),0)),"")</f>
        <v>131.4</v>
      </c>
      <c r="C41" s="33" cm="1">
        <f t="array" ref="C41">IF(A41&lt;=DATE3,SUM(IF((INDEX(INDEX,,1)=A41)*(INDEX(INDEX,3,)=C14),INDEX(INDEX,,),0)),"")</f>
        <v>135.5</v>
      </c>
      <c r="D41" cm="1">
        <f t="array" ref="D41">IF($A41&lt;=DATE4,SUM(IF((INDEX(INDICES,,1)=$A41)*(INDEX(INDICES,5,)=D$14),INDEX(INDICES,,),0)),NA())</f>
        <v>126.2</v>
      </c>
      <c r="E41" cm="1">
        <f t="array" ref="E41">IF($A41&lt;=DATE4,SUM(IF((INDEX(INDICES,,1)=$A41)*(INDEX(INDICES,5,)=E$14),INDEX(INDICES,,),0)),NA())</f>
        <v>138</v>
      </c>
      <c r="F41" cm="1">
        <f t="array" ref="F41">IF($A41&lt;=DATE4,SUM(IF((INDEX(INDICES,,1)=$A41)*(INDEX(INDICES,5,)=F$14),INDEX(INDICES,,),0)),NA())</f>
        <v>141</v>
      </c>
      <c r="G41" cm="1">
        <f t="array" ref="G41">IF($A41&lt;=DATE4,SUM(IF((INDEX(INDICES,,1)=$A41)*(INDEX(INDICES,5,)=G$14),INDEX(INDICES,,),0)),NA())</f>
        <v>131.5</v>
      </c>
      <c r="H41" cm="1">
        <f t="array" ref="H41">IF($A41&lt;=DATE4,SUM(IF((INDEX(INDICES,,1)=$A41)*(INDEX(INDICES,5,)=H$14),INDEX(INDICES,,),0)),NA())</f>
        <v>89.1</v>
      </c>
      <c r="K41" t="str">
        <v>Matières plastiques sous formes primaires</v>
      </c>
      <c r="L41" s="38">
        <v>0</v>
      </c>
      <c r="M41" t="str">
        <v>Autres textiles</v>
      </c>
      <c r="N41">
        <v>0</v>
      </c>
      <c r="P41">
        <v>10764143</v>
      </c>
      <c r="Q41" t="str">
        <v>Matières plastiques sous formes primaires</v>
      </c>
      <c r="R41" s="20">
        <v>-0.10911016949152552</v>
      </c>
      <c r="S41" s="20">
        <v>-9.4725511302475862E-2</v>
      </c>
      <c r="T41" s="21"/>
    </row>
    <row r="42" spans="1:20">
      <c r="A42" s="1">
        <f t="shared" si="0"/>
        <v>45778</v>
      </c>
      <c r="B42" cm="1">
        <f t="array" ref="B42">IF(A42&lt;=DATE3,SUM(IF((INDEX(INDEX,,1)=A42)*(INDEX(INDEX,3,)="TP01"),INDEX(INDEX,,),0)),"")</f>
        <v>130.69999999999999</v>
      </c>
      <c r="C42" s="33" cm="1">
        <f t="array" ref="C42">IF(A42&lt;=DATE3,SUM(IF((INDEX(INDEX,,1)=A42)*(INDEX(INDEX,3,)=C14),INDEX(INDEX,,),0)),"")</f>
        <v>135.30000000000001</v>
      </c>
      <c r="D42" cm="1">
        <f t="array" ref="D42">IF($A42&lt;=DATE4,SUM(IF((INDEX(INDICES,,1)=$A42)*(INDEX(INDICES,5,)=D$14),INDEX(INDICES,,),0)),NA())</f>
        <v>126.4</v>
      </c>
      <c r="E42" cm="1">
        <f t="array" ref="E42">IF($A42&lt;=DATE4,SUM(IF((INDEX(INDICES,,1)=$A42)*(INDEX(INDICES,5,)=E$14),INDEX(INDICES,,),0)),NA())</f>
        <v>138.4</v>
      </c>
      <c r="F42" cm="1">
        <f t="array" ref="F42">IF($A42&lt;=DATE4,SUM(IF((INDEX(INDICES,,1)=$A42)*(INDEX(INDICES,5,)=F$14),INDEX(INDICES,,),0)),NA())</f>
        <v>140</v>
      </c>
      <c r="G42" cm="1">
        <f t="array" ref="G42">IF($A42&lt;=DATE4,SUM(IF((INDEX(INDICES,,1)=$A42)*(INDEX(INDICES,5,)=G$14),INDEX(INDICES,,),0)),NA())</f>
        <v>131.69999999999999</v>
      </c>
      <c r="H42" cm="1">
        <f t="array" ref="H42">IF($A42&lt;=DATE4,SUM(IF((INDEX(INDICES,,1)=$A42)*(INDEX(INDICES,5,)=H$14),INDEX(INDICES,,),0)),NA())</f>
        <v>89.6</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-1.2315270935960521E-2</v>
      </c>
      <c r="S42" s="20">
        <v>-4.7505938242280221E-2</v>
      </c>
      <c r="T42" s="21"/>
    </row>
    <row r="43" spans="1:20">
      <c r="A43" s="1">
        <f t="shared" si="0"/>
        <v>45809</v>
      </c>
      <c r="B43" cm="1">
        <f t="array" ref="B43">IF(A43&lt;=DATE3,SUM(IF((INDEX(INDEX,,1)=A43)*(INDEX(INDEX,3,)="TP01"),INDEX(INDEX,,),0)),"")</f>
        <v>130.5</v>
      </c>
      <c r="C43" s="33" cm="1">
        <f t="array" ref="C43">IF(A43&lt;=DATE3,SUM(IF((INDEX(INDEX,,1)=A43)*(INDEX(INDEX,3,)=C14),INDEX(INDEX,,),0)),"")</f>
        <v>135</v>
      </c>
      <c r="D43" cm="1">
        <f t="array" ref="D43">IF($A43&lt;=DATE4,SUM(IF((INDEX(INDICES,,1)=$A43)*(INDEX(INDICES,5,)=D$14),INDEX(INDICES,,),0)),NA())</f>
        <v>126</v>
      </c>
      <c r="E43" cm="1">
        <f t="array" ref="E43">IF($A43&lt;=DATE4,SUM(IF((INDEX(INDICES,,1)=$A43)*(INDEX(INDICES,5,)=E$14),INDEX(INDICES,,),0)),NA())</f>
        <v>138.69999999999999</v>
      </c>
      <c r="F43" cm="1">
        <f t="array" ref="F43">IF($A43&lt;=DATE4,SUM(IF((INDEX(INDICES,,1)=$A43)*(INDEX(INDICES,5,)=F$14),INDEX(INDICES,,),0)),NA())</f>
        <v>143.9</v>
      </c>
      <c r="G43" cm="1">
        <f t="array" ref="G43">IF($A43&lt;=DATE4,SUM(IF((INDEX(INDICES,,1)=$A43)*(INDEX(INDICES,5,)=G$14),INDEX(INDICES,,),0)),NA())</f>
        <v>130.69999999999999</v>
      </c>
      <c r="H43" cm="1">
        <f t="array" ref="H43">IF($A43&lt;=DATE4,SUM(IF((INDEX(INDICES,,1)=$A43)*(INDEX(INDICES,5,)=H$14),INDEX(INDICES,,),0)),NA())</f>
        <v>89.4</v>
      </c>
      <c r="K43" t="str">
        <v>Éléments en béton pour la construction</v>
      </c>
      <c r="L43" s="38">
        <v>0</v>
      </c>
      <c r="M43" t="str">
        <v>Tubes, tuyaux, profilés creux et accessoires correspondants en acier</v>
      </c>
      <c r="N43">
        <v>0</v>
      </c>
      <c r="P43">
        <v>10764179</v>
      </c>
      <c r="Q43" t="str">
        <v>Éléments en béton pour la construction</v>
      </c>
      <c r="R43" s="20">
        <v>8.8719898605831293E-3</v>
      </c>
      <c r="S43" s="20">
        <v>-2.6894865525672329E-2</v>
      </c>
      <c r="T43" s="21"/>
    </row>
    <row r="44" spans="1:20">
      <c r="A44" s="1">
        <f t="shared" si="0"/>
        <v>45839</v>
      </c>
      <c r="B44" cm="1">
        <f t="array" ref="B44">IF(A44&lt;=DATE3,SUM(IF((INDEX(INDEX,,1)=A44)*(INDEX(INDEX,3,)="TP01"),INDEX(INDEX,,),0)),"")</f>
        <v>131</v>
      </c>
      <c r="C44" s="33" cm="1">
        <f t="array" ref="C44">IF(A44&lt;=DATE3,SUM(IF((INDEX(INDEX,,1)=A44)*(INDEX(INDEX,3,)=C14),INDEX(INDEX,,),0)),"")</f>
        <v>135.19999999999999</v>
      </c>
      <c r="D44" cm="1">
        <f t="array" ref="D44">IF($A44&lt;=DATE4,SUM(IF((INDEX(INDICES,,1)=$A44)*(INDEX(INDICES,5,)=D$14),INDEX(INDICES,,),0)),NA())</f>
        <v>125.5</v>
      </c>
      <c r="E44" cm="1">
        <f t="array" ref="E44">IF($A44&lt;=DATE4,SUM(IF((INDEX(INDICES,,1)=$A44)*(INDEX(INDICES,5,)=E$14),INDEX(INDICES,,),0)),NA())</f>
        <v>139</v>
      </c>
      <c r="F44" cm="1">
        <f t="array" ref="F44">IF($A44&lt;=DATE4,SUM(IF((INDEX(INDICES,,1)=$A44)*(INDEX(INDICES,5,)=F$14),INDEX(INDICES,,),0)),NA())</f>
        <v>147.30000000000001</v>
      </c>
      <c r="G44" cm="1">
        <f t="array" ref="G44">IF($A44&lt;=DATE4,SUM(IF((INDEX(INDICES,,1)=$A44)*(INDEX(INDICES,5,)=G$14),INDEX(INDICES,,),0)),NA())</f>
        <v>131.30000000000001</v>
      </c>
      <c r="H44" cm="1">
        <f t="array" ref="H44">IF($A44&lt;=DATE4,SUM(IF((INDEX(INDICES,,1)=$A44)*(INDEX(INDICES,5,)=H$14),INDEX(INDICES,,),0)),NA())</f>
        <v>88.6</v>
      </c>
      <c r="K44" t="str">
        <v>Fils et câbles d'énergie</v>
      </c>
      <c r="L44" s="38">
        <v>0</v>
      </c>
      <c r="M44" t="str">
        <v>Éléments en béton pour la construction</v>
      </c>
      <c r="N44">
        <v>0</v>
      </c>
      <c r="P44">
        <v>10763930</v>
      </c>
      <c r="Q44" t="str">
        <v>Fils et câbles d'énergie</v>
      </c>
      <c r="R44" s="20">
        <v>1.5961691939345712E-3</v>
      </c>
      <c r="S44" s="20">
        <v>6.8539804171988239E-2</v>
      </c>
      <c r="T44" s="21"/>
    </row>
    <row r="45" spans="1:20">
      <c r="A45" s="1">
        <f t="shared" si="0"/>
        <v>45870</v>
      </c>
      <c r="B45" cm="1">
        <f t="array" ref="B45">IF(A45&lt;=DATE3,SUM(IF((INDEX(INDEX,,1)=A45)*(INDEX(INDEX,3,)="TP01"),INDEX(INDEX,,),0)),"")</f>
        <v>131.4</v>
      </c>
      <c r="C45" s="33" cm="1">
        <f t="array" ref="C45">IF(A45&lt;=DATE3,SUM(IF((INDEX(INDEX,,1)=A45)*(INDEX(INDEX,3,)=C14),INDEX(INDEX,,),0)),"")</f>
        <v>136.1</v>
      </c>
      <c r="D45" cm="1">
        <f t="array" ref="D45">IF($A45&lt;=DATE4,SUM(IF((INDEX(INDICES,,1)=$A45)*(INDEX(INDICES,5,)=D$14),INDEX(INDICES,,),0)),NA())</f>
        <v>128.4</v>
      </c>
      <c r="E45" cm="1">
        <f t="array" ref="E45">IF($A45&lt;=DATE4,SUM(IF((INDEX(INDICES,,1)=$A45)*(INDEX(INDICES,5,)=E$14),INDEX(INDICES,,),0)),NA())</f>
        <v>139.30000000000001</v>
      </c>
      <c r="F45" cm="1">
        <f t="array" ref="F45">IF($A45&lt;=DATE4,SUM(IF((INDEX(INDICES,,1)=$A45)*(INDEX(INDICES,5,)=F$14),INDEX(INDICES,,),0)),NA())</f>
        <v>143.30000000000001</v>
      </c>
      <c r="G45" cm="1">
        <f t="array" ref="G45">IF($A45&lt;=DATE4,SUM(IF((INDEX(INDICES,,1)=$A45)*(INDEX(INDICES,5,)=G$14),INDEX(INDICES,,),0)),NA())</f>
        <v>132.69999999999999</v>
      </c>
      <c r="H45" cm="1">
        <f t="array" ref="H45">IF($A45&lt;=DATE4,SUM(IF((INDEX(INDICES,,1)=$A45)*(INDEX(INDICES,5,)=H$14),INDEX(INDICES,,),0)),NA())</f>
        <v>87.8</v>
      </c>
      <c r="K45" t="str">
        <v>Moteurs, génératrices, transfo. électr., matér. distrib., cmde électr.</v>
      </c>
      <c r="L45" s="38">
        <v>0</v>
      </c>
      <c r="M45" t="str">
        <v>Fils et câbles d'énergie</v>
      </c>
      <c r="N45">
        <v>0</v>
      </c>
      <c r="P45">
        <v>10764223</v>
      </c>
      <c r="Q45" t="str">
        <v>Moteurs, génératrices, transfo. électr., matér. distrib., cmde électr.</v>
      </c>
      <c r="R45" s="20">
        <v>9.8332620778110114E-2</v>
      </c>
      <c r="S45" s="20">
        <v>9.505541346973545E-2</v>
      </c>
      <c r="T45" s="21"/>
    </row>
    <row r="46" spans="1:20">
      <c r="A46" s="1">
        <f t="shared" si="0"/>
        <v>45901</v>
      </c>
      <c r="B46" cm="1">
        <f t="array" ref="B46">IF(A46&lt;=DATE3,SUM(IF((INDEX(INDEX,,1)=A46)*(INDEX(INDEX,3,)="TP01"),INDEX(INDEX,,),0)),"")</f>
        <v>130.69999999999999</v>
      </c>
      <c r="C46" s="33" cm="1">
        <f t="array" ref="C46">IF(A46&lt;=DATE3,SUM(IF((INDEX(INDEX,,1)=A46)*(INDEX(INDEX,3,)=C14),INDEX(INDEX,,),0)),"")</f>
        <v>135.69999999999999</v>
      </c>
      <c r="D46" cm="1">
        <f t="array" ref="D46">IF($A46&lt;=DATE4,SUM(IF((INDEX(INDICES,,1)=$A46)*(INDEX(INDICES,5,)=D$14),INDEX(INDICES,,),0)),NA())</f>
        <v>126.8</v>
      </c>
      <c r="E46" cm="1">
        <f t="array" ref="E46">IF($A46&lt;=DATE4,SUM(IF((INDEX(INDICES,,1)=$A46)*(INDEX(INDICES,5,)=E$14),INDEX(INDICES,,),0)),NA())</f>
        <v>139.69999999999999</v>
      </c>
      <c r="F46" cm="1">
        <f t="array" ref="F46">IF($A46&lt;=DATE4,SUM(IF((INDEX(INDICES,,1)=$A46)*(INDEX(INDICES,5,)=F$14),INDEX(INDICES,,),0)),NA())</f>
        <v>145.1</v>
      </c>
      <c r="G46" cm="1">
        <f t="array" ref="G46">IF($A46&lt;=DATE4,SUM(IF((INDEX(INDICES,,1)=$A46)*(INDEX(INDICES,5,)=G$14),INDEX(INDICES,,),0)),NA())</f>
        <v>131.30000000000001</v>
      </c>
      <c r="H46" cm="1">
        <f t="array" ref="H46">IF($A46&lt;=DATE4,SUM(IF((INDEX(INDICES,,1)=$A46)*(INDEX(INDICES,5,)=H$14),INDEX(INDICES,,),0)),NA())</f>
        <v>87.7</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0.14835164835164849</v>
      </c>
      <c r="S46" s="20">
        <v>0.13729593972373411</v>
      </c>
      <c r="T46" s="21"/>
    </row>
    <row r="47" spans="1:20">
      <c r="A47" s="1">
        <f t="shared" si="0"/>
        <v>45931</v>
      </c>
      <c r="B47" cm="1">
        <f t="array" ref="B47">IF(A47&lt;=DATE3,SUM(IF((INDEX(INDEX,,1)=A47)*(INDEX(INDEX,3,)="TP01"),INDEX(INDEX,,),0)),"")</f>
        <v>130.5</v>
      </c>
      <c r="C47" s="33" cm="1">
        <f t="array" ref="C47">IF(A47&lt;=DATE3,SUM(IF((INDEX(INDEX,,1)=A47)*(INDEX(INDEX,3,)=C14),INDEX(INDEX,,),0)),"")</f>
        <v>135.69999999999999</v>
      </c>
      <c r="D47" cm="1">
        <f t="array" ref="D47">IF($A47&lt;=DATE4,SUM(IF((INDEX(INDICES,,1)=$A47)*(INDEX(INDICES,5,)=D$14),INDEX(INDICES,,),0)),NA())</f>
        <v>126.7</v>
      </c>
      <c r="E47" cm="1">
        <f t="array" ref="E47">IF($A47&lt;=DATE4,SUM(IF((INDEX(INDICES,,1)=$A47)*(INDEX(INDICES,5,)=E$14),INDEX(INDICES,,),0)),NA())</f>
        <v>140.4</v>
      </c>
      <c r="F47" cm="1">
        <f t="array" ref="F47">IF($A47&lt;=DATE4,SUM(IF((INDEX(INDICES,,1)=$A47)*(INDEX(INDICES,5,)=F$14),INDEX(INDICES,,),0)),NA())</f>
        <v>143.4</v>
      </c>
      <c r="G47" cm="1">
        <f t="array" ref="G47">IF($A47&lt;=DATE4,SUM(IF((INDEX(INDICES,,1)=$A47)*(INDEX(INDICES,5,)=G$14),INDEX(INDICES,,),0)),NA())</f>
        <v>131.69999999999999</v>
      </c>
      <c r="H47" cm="1">
        <f t="array" ref="H47">IF($A47&lt;=DATE4,SUM(IF((INDEX(INDICES,,1)=$A47)*(INDEX(INDICES,5,)=H$14),INDEX(INDICES,,),0)),NA())</f>
        <v>86.4</v>
      </c>
      <c r="K47" t="str">
        <v>Appareils d'éclairage électrique</v>
      </c>
      <c r="L47" s="38">
        <v>0</v>
      </c>
      <c r="M47" t="str">
        <v>Matériel de distribution et de commande électrique</v>
      </c>
      <c r="N47">
        <v>0</v>
      </c>
      <c r="P47">
        <v>10764228</v>
      </c>
      <c r="Q47" t="str">
        <v>Appareils d'éclairage électrique</v>
      </c>
      <c r="R47" s="20">
        <v>-6.5696855936180354E-3</v>
      </c>
      <c r="S47" s="20">
        <v>-1.5806601580660273E-2</v>
      </c>
      <c r="T47" s="21"/>
    </row>
    <row r="48" spans="1:20">
      <c r="A48" s="1">
        <f t="shared" si="0"/>
        <v>45962</v>
      </c>
      <c r="B48" cm="1">
        <f t="array" ref="B48">IF(A48&lt;=DATE3,SUM(IF((INDEX(INDEX,,1)=A48)*(INDEX(INDEX,3,)="TP01"),INDEX(INDEX,,),0)),"")</f>
        <v>130.80000000000001</v>
      </c>
      <c r="C48" s="33" cm="1">
        <f t="array" ref="C48">IF(A48&lt;=DATE3,SUM(IF((INDEX(INDEX,,1)=A48)*(INDEX(INDEX,3,)=C14),INDEX(INDEX,,),0)),"")</f>
        <v>135.80000000000001</v>
      </c>
      <c r="D48" cm="1">
        <f t="array" ref="D48">IF($A48&lt;=DATE4,SUM(IF((INDEX(INDICES,,1)=$A48)*(INDEX(INDICES,5,)=D$14),INDEX(INDICES,,),0)),NA())</f>
        <v>126.2</v>
      </c>
      <c r="E48" cm="1">
        <f t="array" ref="E48">IF($A48&lt;=DATE4,SUM(IF((INDEX(INDICES,,1)=$A48)*(INDEX(INDICES,5,)=E$14),INDEX(INDICES,,),0)),NA())</f>
        <v>141.1</v>
      </c>
      <c r="F48" cm="1">
        <f t="array" ref="F48">IF($A48&lt;=DATE4,SUM(IF((INDEX(INDICES,,1)=$A48)*(INDEX(INDICES,5,)=F$14),INDEX(INDICES,,),0)),NA())</f>
        <v>149.6</v>
      </c>
      <c r="G48" cm="1">
        <f t="array" ref="G48">IF($A48&lt;=DATE4,SUM(IF((INDEX(INDICES,,1)=$A48)*(INDEX(INDICES,5,)=G$14),INDEX(INDICES,,),0)),NA())</f>
        <v>131.6</v>
      </c>
      <c r="H48" cm="1">
        <f t="array" ref="H48">IF($A48&lt;=DATE4,SUM(IF((INDEX(INDICES,,1)=$A48)*(INDEX(INDICES,5,)=H$14),INDEX(INDICES,,),0)),NA())</f>
        <v>85.7</v>
      </c>
      <c r="K48" t="str">
        <v>Câbles de fibres optiques</v>
      </c>
      <c r="L48" s="38">
        <v>0</v>
      </c>
      <c r="M48" t="str">
        <v>Appareils d'éclairage électrique</v>
      </c>
      <c r="N48">
        <v>0</v>
      </c>
      <c r="P48">
        <v>10764834</v>
      </c>
      <c r="Q48" t="str">
        <v>Câbles de fibres optiques</v>
      </c>
      <c r="R48" s="20">
        <v>-5.4888507718696355E-2</v>
      </c>
      <c r="S48" s="20">
        <v>-0.17597208374875373</v>
      </c>
      <c r="T48" s="21"/>
    </row>
    <row r="49" spans="1:20">
      <c r="A49" s="1">
        <f t="shared" si="0"/>
        <v>45992</v>
      </c>
      <c r="B49" cm="1">
        <f t="array" ref="B49">IF(A49&lt;=DATE3,SUM(IF((INDEX(INDEX,,1)=A49)*(INDEX(INDEX,3,)="TP01"),INDEX(INDEX,,),0)),"")</f>
        <v>130.30000000000001</v>
      </c>
      <c r="C49" s="33" cm="1">
        <f t="array" ref="C49">IF(A49&lt;=DATE3,SUM(IF((INDEX(INDEX,,1)=A49)*(INDEX(INDEX,3,)=C14),INDEX(INDEX,,),0)),"")</f>
        <v>136.1</v>
      </c>
      <c r="D49" cm="1">
        <f t="array" ref="D49">IF($A49&lt;=DATE4,SUM(IF((INDEX(INDICES,,1)=$A49)*(INDEX(INDICES,5,)=D$14),INDEX(INDICES,,),0)),NA())</f>
        <v>125.5</v>
      </c>
      <c r="E49" cm="1">
        <f t="array" ref="E49">IF($A49&lt;=DATE4,SUM(IF((INDEX(INDICES,,1)=$A49)*(INDEX(INDICES,5,)=E$14),INDEX(INDICES,,),0)),NA())</f>
        <v>141.80000000000001</v>
      </c>
      <c r="F49" cm="1">
        <f t="array" ref="F49">IF($A49&lt;=DATE4,SUM(IF((INDEX(INDICES,,1)=$A49)*(INDEX(INDICES,5,)=F$14),INDEX(INDICES,,),0)),NA())</f>
        <v>141.30000000000001</v>
      </c>
      <c r="G49" cm="1">
        <f t="array" ref="G49">IF($A49&lt;=DATE4,SUM(IF((INDEX(INDICES,,1)=$A49)*(INDEX(INDICES,5,)=G$14),INDEX(INDICES,,),0)),NA())</f>
        <v>131.1</v>
      </c>
      <c r="H49" cm="1">
        <f t="array" ref="H49">IF($A49&lt;=DATE4,SUM(IF((INDEX(INDICES,,1)=$A49)*(INDEX(INDICES,5,)=H$14),INDEX(INDICES,,),0)),NA())</f>
        <v>85.6</v>
      </c>
      <c r="K49" t="str">
        <v>Peintures Industries</v>
      </c>
      <c r="L49" s="38">
        <v>0</v>
      </c>
      <c r="M49" t="str">
        <v>Câbles de fibres optiques</v>
      </c>
      <c r="N49">
        <v>0</v>
      </c>
      <c r="P49">
        <v>10763825</v>
      </c>
      <c r="Q49" t="str">
        <v>Peintures Industries</v>
      </c>
      <c r="R49" s="20">
        <v>-2.8910303928836201E-2</v>
      </c>
      <c r="S49" s="20">
        <v>-5.6535830032409029E-2</v>
      </c>
      <c r="T49" s="21"/>
    </row>
    <row r="50" spans="1:20">
      <c r="A50" s="1">
        <f t="shared" si="0"/>
        <v>46023</v>
      </c>
      <c r="B50" cm="1">
        <f t="array" ref="B50">IF(A50&lt;=DATE3,SUM(IF((INDEX(INDEX,,1)=A50)*(INDEX(INDEX,3,)="TP01"),INDEX(INDEX,,),0)),"")</f>
        <v>131.4</v>
      </c>
      <c r="C50" s="33" cm="1">
        <f t="array" ref="C50">IF(A50&lt;=DATE3,SUM(IF((INDEX(INDEX,,1)=A50)*(INDEX(INDEX,3,)=C14),INDEX(INDEX,,),0)),"")</f>
        <v>137.5</v>
      </c>
      <c r="D50" cm="1">
        <f t="array" ref="D50">IF($A50&lt;=DATE4,SUM(IF((INDEX(INDICES,,1)=$A50)*(INDEX(INDICES,5,)=D$14),INDEX(INDICES,,),0)),NA())</f>
        <v>127.6</v>
      </c>
      <c r="E50" cm="1">
        <f t="array" ref="E50">IF($A50&lt;=DATE4,SUM(IF((INDEX(INDICES,,1)=$A50)*(INDEX(INDICES,5,)=E$14),INDEX(INDICES,,),0)),NA())</f>
        <v>141.80000000000001</v>
      </c>
      <c r="F50" cm="1">
        <f t="array" ref="F50">IF($A50&lt;=DATE4,SUM(IF((INDEX(INDICES,,1)=$A50)*(INDEX(INDICES,5,)=F$14),INDEX(INDICES,,),0)),NA())</f>
        <v>150.1</v>
      </c>
      <c r="G50" cm="1">
        <f t="array" ref="G50">IF($A50&lt;=DATE4,SUM(IF((INDEX(INDICES,,1)=$A50)*(INDEX(INDICES,5,)=G$14),INDEX(INDICES,,),0)),NA())</f>
        <v>133.80000000000001</v>
      </c>
      <c r="H50" cm="1">
        <f t="array" ref="H50">IF($A50&lt;=DATE4,SUM(IF((INDEX(INDICES,,1)=$A50)*(INDEX(INDICES,5,)=H$14),INDEX(INDICES,,),0)),NA())</f>
        <v>85.5</v>
      </c>
      <c r="K50" t="str">
        <v>Produits sidérurgiques en acier non allié</v>
      </c>
      <c r="L50" s="38">
        <v>0</v>
      </c>
      <c r="M50" t="str">
        <v>Peintures Industries</v>
      </c>
      <c r="N50">
        <v>0</v>
      </c>
      <c r="P50">
        <v>10763881</v>
      </c>
      <c r="Q50" t="str">
        <v>Produits sidérurgiques en acier non allié</v>
      </c>
      <c r="R50" s="20">
        <v>4.8205677557580096E-3</v>
      </c>
      <c r="S50" s="20">
        <v>-4.6263345195729499E-2</v>
      </c>
      <c r="T50" s="21"/>
    </row>
    <row r="51" spans="1:20">
      <c r="A51" s="1">
        <f t="shared" si="0"/>
        <v>46054</v>
      </c>
      <c r="B51" cm="1">
        <f t="array" ref="B51">IF(A51&lt;=DATE3,SUM(IF((INDEX(INDEX,,1)=A51)*(INDEX(INDEX,3,)="TP01"),INDEX(INDEX,,),0)),"")</f>
        <v>132.19999999999999</v>
      </c>
      <c r="C51" s="33" cm="1">
        <f t="array" ref="C51">IF(A51&lt;=DATE3,SUM(IF((INDEX(INDEX,,1)=A51)*(INDEX(INDEX,3,)=C14),INDEX(INDEX,,),0)),"")</f>
        <v>137.5</v>
      </c>
      <c r="D51" cm="1">
        <f t="array" ref="D51">IF($A51&lt;=DATE4,SUM(IF((INDEX(INDICES,,1)=$A51)*(INDEX(INDICES,5,)=D$14),INDEX(INDICES,,),0)),NA())</f>
        <v>125.6</v>
      </c>
      <c r="E51" cm="1">
        <f t="array" ref="E51">IF($A51&lt;=DATE4,SUM(IF((INDEX(INDICES,,1)=$A51)*(INDEX(INDICES,5,)=E$14),INDEX(INDICES,,),0)),NA())</f>
        <v>141.80000000000001</v>
      </c>
      <c r="F51" cm="1">
        <f t="array" ref="F51">IF($A51&lt;=DATE4,SUM(IF((INDEX(INDICES,,1)=$A51)*(INDEX(INDICES,5,)=F$14),INDEX(INDICES,,),0)),NA())</f>
        <v>157.19999999999999</v>
      </c>
      <c r="G51" cm="1">
        <f t="array" ref="G51">IF($A51&lt;=DATE4,SUM(IF((INDEX(INDICES,,1)=$A51)*(INDEX(INDICES,5,)=G$14),INDEX(INDICES,,),0)),NA())</f>
        <v>133.19999999999999</v>
      </c>
      <c r="H51" cm="1">
        <f t="array" ref="H51">IF($A51&lt;=DATE4,SUM(IF((INDEX(INDICES,,1)=$A51)*(INDEX(INDICES,5,)=H$14),INDEX(INDICES,,),0)),NA())</f>
        <v>86.1</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3.6002482929857083E-2</v>
      </c>
      <c r="S51" s="20">
        <v>-5.546123372948486E-2</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2.5380710659899108E-3</v>
      </c>
      <c r="S52" s="20">
        <v>2.5530073561228717E-2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1.418115279048493E-2</v>
      </c>
      <c r="S53" s="20">
        <v>3.0204460966542834E-2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317</v>
      </c>
      <c r="H7" s="83" t="s">
        <v>316</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-2.6336581511720025E-3</v>
      </c>
      <c r="S15" s="20">
        <v>1.8494055482165539E-3</v>
      </c>
    </row>
    <row r="16" spans="1:19">
      <c r="A16" s="1">
        <f>EDATE(DATE3,-11)</f>
        <v>45717</v>
      </c>
      <c r="B16" cm="1">
        <f t="array" ref="B16">IF(A16&lt;=DATE3,SUM(IF((INDEX(INDEX,,1)=A16)*(INDEX(INDEX,3,)="TP01"),INDEX(INDEX,,),0)),"")</f>
        <v>131.69999999999999</v>
      </c>
      <c r="C16" s="33" cm="1">
        <f t="array" ref="C16">IF(A16&lt;=DATE3,SUM(IF((INDEX(INDEX,,1)=A16)*(INDEX(INDEX,3,)=C14),INDEX(INDEX,,),0)),"")</f>
        <v>135</v>
      </c>
      <c r="D16" cm="1">
        <f t="array" ref="D16">IF($A16&lt;=DATE4,SUM(IF((INDEX(INDICES,,1)=$A16)*(INDEX(INDICES,5,)=D$14),INDEX(INDICES,,),0)),NA())</f>
        <v>124.5</v>
      </c>
      <c r="E16" cm="1">
        <f t="array" ref="E16">IF($A16&lt;=DATE4,SUM(IF((INDEX(INDICES,,1)=$A16)*(INDEX(INDICES,5,)=E$14),INDEX(INDICES,,),0)),NA())</f>
        <v>137.6</v>
      </c>
      <c r="F16" cm="1">
        <f t="array" ref="F16">IF($A16&lt;=DATE4,SUM(IF((INDEX(INDICES,,1)=$A16)*(INDEX(INDICES,5,)=F$14),INDEX(INDICES,,),0)),NA())</f>
        <v>145.69999999999999</v>
      </c>
      <c r="G16" cm="1">
        <f t="array" ref="G16">IF($A16&lt;=DATE4,SUM(IF((INDEX(INDICES,,1)=$A16)*(INDEX(INDICES,5,)=G$14),INDEX(INDICES,,),0)),NA())</f>
        <v>130.1</v>
      </c>
      <c r="H16" cm="1">
        <f t="array" ref="H16">IF($A16&lt;=DATE4,SUM(IF((INDEX(INDICES,,1)=$A16)*(INDEX(INDICES,5,)=H$14),INDEX(INDICES,,),0)),NA())</f>
        <v>88.3</v>
      </c>
      <c r="K16" t="str">
        <v>Travail</v>
      </c>
      <c r="L16" s="38">
        <v>0.5</v>
      </c>
      <c r="M16" t="str">
        <v>Matériel</v>
      </c>
      <c r="N16">
        <v>0.21</v>
      </c>
      <c r="P16">
        <v>103167938</v>
      </c>
      <c r="Q16" t="str">
        <v>Travail</v>
      </c>
      <c r="R16" s="20">
        <v>9.9715099715098621E-3</v>
      </c>
      <c r="S16" s="20">
        <v>1.877256317689513E-2</v>
      </c>
    </row>
    <row r="17" spans="1:19">
      <c r="A17" s="1">
        <f>EDATE(A16,1)</f>
        <v>45748</v>
      </c>
      <c r="B17" cm="1">
        <f t="array" ref="B17">IF(A17&lt;=DATE3,SUM(IF((INDEX(INDEX,,1)=A17)*(INDEX(INDEX,3,)="TP01"),INDEX(INDEX,,),0)),"")</f>
        <v>131.4</v>
      </c>
      <c r="C17" s="33" cm="1">
        <f t="array" ref="C17">IF(A17&lt;=DATE3,SUM(IF((INDEX(INDEX,,1)=A17)*(INDEX(INDEX,3,)=C14),INDEX(INDEX,,),0)),"")</f>
        <v>135.5</v>
      </c>
      <c r="D17" cm="1">
        <f t="array" ref="D17">IF($A17&lt;=DATE4,SUM(IF((INDEX(INDICES,,1)=$A17)*(INDEX(INDICES,5,)=D$14),INDEX(INDICES,,),0)),NA())</f>
        <v>126.2</v>
      </c>
      <c r="E17" cm="1">
        <f t="array" ref="E17">IF($A17&lt;=DATE4,SUM(IF((INDEX(INDICES,,1)=$A17)*(INDEX(INDICES,5,)=E$14),INDEX(INDICES,,),0)),NA())</f>
        <v>138</v>
      </c>
      <c r="F17" cm="1">
        <f t="array" ref="F17">IF($A17&lt;=DATE4,SUM(IF((INDEX(INDICES,,1)=$A17)*(INDEX(INDICES,5,)=F$14),INDEX(INDICES,,),0)),NA())</f>
        <v>141</v>
      </c>
      <c r="G17" cm="1">
        <f t="array" ref="G17">IF($A17&lt;=DATE4,SUM(IF((INDEX(INDICES,,1)=$A17)*(INDEX(INDICES,5,)=G$14),INDEX(INDICES,,),0)),NA())</f>
        <v>131.5</v>
      </c>
      <c r="H17" cm="1">
        <f t="array" ref="H17">IF($A17&lt;=DATE4,SUM(IF((INDEX(INDICES,,1)=$A17)*(INDEX(INDICES,5,)=H$14),INDEX(INDICES,,),0)),NA())</f>
        <v>89.1</v>
      </c>
      <c r="K17" t="str">
        <v>GNR pour les Travaux Publics</v>
      </c>
      <c r="L17" s="38">
        <v>0.01</v>
      </c>
      <c r="M17" t="str">
        <v>Béton prêt à l'emploi</v>
      </c>
      <c r="N17">
        <v>0.12</v>
      </c>
      <c r="P17" t="s">
        <v>49</v>
      </c>
      <c r="Q17" t="str">
        <v>Travail activités spécialisées</v>
      </c>
      <c r="R17" s="20">
        <v>5.8479532163744352E-3</v>
      </c>
      <c r="S17" s="20">
        <v>1.09296328134596E-2</v>
      </c>
    </row>
    <row r="18" spans="1:19">
      <c r="A18" s="1">
        <f t="shared" ref="A18:A27" si="0">EDATE(A17,1)</f>
        <v>45778</v>
      </c>
      <c r="B18" cm="1">
        <f t="array" ref="B18">IF(A18&lt;=DATE3,SUM(IF((INDEX(INDEX,,1)=A18)*(INDEX(INDEX,3,)="TP01"),INDEX(INDEX,,),0)),"")</f>
        <v>130.69999999999999</v>
      </c>
      <c r="C18" s="33" cm="1">
        <f t="array" ref="C18">IF(A18&lt;=DATE3,SUM(IF((INDEX(INDEX,,1)=A18)*(INDEX(INDEX,3,)=C14),INDEX(INDEX,,),0)),"")</f>
        <v>135.30000000000001</v>
      </c>
      <c r="D18" cm="1">
        <f t="array" ref="D18">IF($A18&lt;=DATE4,SUM(IF((INDEX(INDICES,,1)=$A18)*(INDEX(INDICES,5,)=D$14),INDEX(INDICES,,),0)),NA())</f>
        <v>126.4</v>
      </c>
      <c r="E18" cm="1">
        <f t="array" ref="E18">IF($A18&lt;=DATE4,SUM(IF((INDEX(INDICES,,1)=$A18)*(INDEX(INDICES,5,)=E$14),INDEX(INDICES,,),0)),NA())</f>
        <v>138.4</v>
      </c>
      <c r="F18" cm="1">
        <f t="array" ref="F18">IF($A18&lt;=DATE4,SUM(IF((INDEX(INDICES,,1)=$A18)*(INDEX(INDICES,5,)=F$14),INDEX(INDICES,,),0)),NA())</f>
        <v>140</v>
      </c>
      <c r="G18" cm="1">
        <f t="array" ref="G18">IF($A18&lt;=DATE4,SUM(IF((INDEX(INDICES,,1)=$A18)*(INDEX(INDICES,5,)=G$14),INDEX(INDICES,,),0)),NA())</f>
        <v>131.69999999999999</v>
      </c>
      <c r="H18" cm="1">
        <f t="array" ref="H18">IF($A18&lt;=DATE4,SUM(IF((INDEX(INDICES,,1)=$A18)*(INDEX(INDICES,5,)=H$14),INDEX(INDICES,,),0)),NA())</f>
        <v>89.6</v>
      </c>
      <c r="K18" t="str">
        <v>Gazole</v>
      </c>
      <c r="L18" s="38">
        <v>0</v>
      </c>
      <c r="M18" t="str">
        <v>Barres crénelées ou nervurées pour béton armé</v>
      </c>
      <c r="N18">
        <v>0.1</v>
      </c>
      <c r="P18" s="33" t="s">
        <v>317</v>
      </c>
      <c r="Q18" t="str">
        <v>GNR pour les Travaux Publics</v>
      </c>
      <c r="R18" s="20">
        <v>2.3967130792056368E-2</v>
      </c>
      <c r="S18" s="20">
        <v>2.9609846725499267E-2</v>
      </c>
    </row>
    <row r="19" spans="1:19">
      <c r="A19" s="1">
        <f t="shared" si="0"/>
        <v>45809</v>
      </c>
      <c r="B19" cm="1">
        <f t="array" ref="B19">IF(A19&lt;=DATE3,SUM(IF((INDEX(INDEX,,1)=A19)*(INDEX(INDEX,3,)="TP01"),INDEX(INDEX,,),0)),"")</f>
        <v>130.5</v>
      </c>
      <c r="C19" s="33" cm="1">
        <f t="array" ref="C19">IF(A19&lt;=DATE3,SUM(IF((INDEX(INDEX,,1)=A19)*(INDEX(INDEX,3,)=C14),INDEX(INDEX,,),0)),"")</f>
        <v>135</v>
      </c>
      <c r="D19" cm="1">
        <f t="array" ref="D19">IF($A19&lt;=DATE4,SUM(IF((INDEX(INDICES,,1)=$A19)*(INDEX(INDICES,5,)=D$14),INDEX(INDICES,,),0)),NA())</f>
        <v>126</v>
      </c>
      <c r="E19" cm="1">
        <f t="array" ref="E19">IF($A19&lt;=DATE4,SUM(IF((INDEX(INDICES,,1)=$A19)*(INDEX(INDICES,5,)=E$14),INDEX(INDICES,,),0)),NA())</f>
        <v>138.69999999999999</v>
      </c>
      <c r="F19" cm="1">
        <f t="array" ref="F19">IF($A19&lt;=DATE4,SUM(IF((INDEX(INDICES,,1)=$A19)*(INDEX(INDICES,5,)=F$14),INDEX(INDICES,,),0)),NA())</f>
        <v>143.9</v>
      </c>
      <c r="G19" cm="1">
        <f t="array" ref="G19">IF($A19&lt;=DATE4,SUM(IF((INDEX(INDICES,,1)=$A19)*(INDEX(INDICES,5,)=G$14),INDEX(INDICES,,),0)),NA())</f>
        <v>130.69999999999999</v>
      </c>
      <c r="H19" cm="1">
        <f t="array" ref="H19">IF($A19&lt;=DATE4,SUM(IF((INDEX(INDICES,,1)=$A19)*(INDEX(INDICES,5,)=H$14),INDEX(INDICES,,),0)),NA())</f>
        <v>89.4</v>
      </c>
      <c r="K19" t="str">
        <v>Frais divers</v>
      </c>
      <c r="L19" s="38">
        <v>0.01</v>
      </c>
      <c r="M19" t="str">
        <v>GNR pour les Travaux Publics</v>
      </c>
      <c r="N19">
        <v>0.01</v>
      </c>
      <c r="P19" t="s">
        <v>50</v>
      </c>
      <c r="Q19" t="str">
        <v>Gazole</v>
      </c>
      <c r="R19" s="20">
        <v>6.8515931617108006E-3</v>
      </c>
      <c r="S19" s="20">
        <v>1.9929342957115459E-2</v>
      </c>
    </row>
    <row r="20" spans="1:19">
      <c r="A20" s="1">
        <f t="shared" si="0"/>
        <v>45839</v>
      </c>
      <c r="B20" cm="1">
        <f t="array" ref="B20">IF(A20&lt;=DATE3,SUM(IF((INDEX(INDEX,,1)=A20)*(INDEX(INDEX,3,)="TP01"),INDEX(INDEX,,),0)),"")</f>
        <v>131</v>
      </c>
      <c r="C20" s="33" cm="1">
        <f t="array" ref="C20">IF(A20&lt;=DATE3,SUM(IF((INDEX(INDEX,,1)=A20)*(INDEX(INDEX,3,)=C14),INDEX(INDEX,,),0)),"")</f>
        <v>135.19999999999999</v>
      </c>
      <c r="D20" cm="1">
        <f t="array" ref="D20">IF($A20&lt;=DATE4,SUM(IF((INDEX(INDICES,,1)=$A20)*(INDEX(INDICES,5,)=D$14),INDEX(INDICES,,),0)),NA())</f>
        <v>125.5</v>
      </c>
      <c r="E20" cm="1">
        <f t="array" ref="E20">IF($A20&lt;=DATE4,SUM(IF((INDEX(INDICES,,1)=$A20)*(INDEX(INDICES,5,)=E$14),INDEX(INDICES,,),0)),NA())</f>
        <v>139</v>
      </c>
      <c r="F20" cm="1">
        <f t="array" ref="F20">IF($A20&lt;=DATE4,SUM(IF((INDEX(INDICES,,1)=$A20)*(INDEX(INDICES,5,)=F$14),INDEX(INDICES,,),0)),NA())</f>
        <v>147.30000000000001</v>
      </c>
      <c r="G20" cm="1">
        <f t="array" ref="G20">IF($A20&lt;=DATE4,SUM(IF((INDEX(INDICES,,1)=$A20)*(INDEX(INDICES,5,)=G$14),INDEX(INDICES,,),0)),NA())</f>
        <v>131.30000000000001</v>
      </c>
      <c r="H20" cm="1">
        <f t="array" ref="H20">IF($A20&lt;=DATE4,SUM(IF((INDEX(INDICES,,1)=$A20)*(INDEX(INDICES,5,)=H$14),INDEX(INDICES,,),0)),NA())</f>
        <v>88.6</v>
      </c>
      <c r="K20" t="str">
        <v>Transports routiers</v>
      </c>
      <c r="L20" s="38">
        <v>0.01</v>
      </c>
      <c r="M20" t="str">
        <v>Frais divers</v>
      </c>
      <c r="N20">
        <v>0.01</v>
      </c>
      <c r="P20" t="s">
        <v>51</v>
      </c>
      <c r="Q20" t="str">
        <v>Frais divers</v>
      </c>
      <c r="R20" s="20">
        <v>3.0916245081504812E-3</v>
      </c>
      <c r="S20" s="20">
        <v>-6.5514357401728063E-3</v>
      </c>
    </row>
    <row r="21" spans="1:19">
      <c r="A21" s="1">
        <f t="shared" si="0"/>
        <v>45870</v>
      </c>
      <c r="B21" cm="1">
        <f t="array" ref="B21">IF(A21&lt;=DATE3,SUM(IF((INDEX(INDEX,,1)=A21)*(INDEX(INDEX,3,)="TP01"),INDEX(INDEX,,),0)),"")</f>
        <v>131.4</v>
      </c>
      <c r="C21" s="33" cm="1">
        <f t="array" ref="C21">IF(A21&lt;=DATE3,SUM(IF((INDEX(INDEX,,1)=A21)*(INDEX(INDEX,3,)=C14),INDEX(INDEX,,),0)),"")</f>
        <v>136.1</v>
      </c>
      <c r="D21" cm="1">
        <f t="array" ref="D21">IF($A21&lt;=DATE4,SUM(IF((INDEX(INDICES,,1)=$A21)*(INDEX(INDICES,5,)=D$14),INDEX(INDICES,,),0)),NA())</f>
        <v>128.4</v>
      </c>
      <c r="E21" cm="1">
        <f t="array" ref="E21">IF($A21&lt;=DATE4,SUM(IF((INDEX(INDICES,,1)=$A21)*(INDEX(INDICES,5,)=E$14),INDEX(INDICES,,),0)),NA())</f>
        <v>139.30000000000001</v>
      </c>
      <c r="F21" cm="1">
        <f t="array" ref="F21">IF($A21&lt;=DATE4,SUM(IF((INDEX(INDICES,,1)=$A21)*(INDEX(INDICES,5,)=F$14),INDEX(INDICES,,),0)),NA())</f>
        <v>143.30000000000001</v>
      </c>
      <c r="G21" cm="1">
        <f t="array" ref="G21">IF($A21&lt;=DATE4,SUM(IF((INDEX(INDICES,,1)=$A21)*(INDEX(INDICES,5,)=G$14),INDEX(INDICES,,),0)),NA())</f>
        <v>132.69999999999999</v>
      </c>
      <c r="H21" cm="1">
        <f t="array" ref="H21">IF($A21&lt;=DATE4,SUM(IF((INDEX(INDICES,,1)=$A21)*(INDEX(INDICES,5,)=H$14),INDEX(INDICES,,),0)),NA())</f>
        <v>87.8</v>
      </c>
      <c r="K21" t="str">
        <v>Travail activités spécialisées</v>
      </c>
      <c r="L21" s="38">
        <v>0</v>
      </c>
      <c r="M21" t="str">
        <v>Transports routiers</v>
      </c>
      <c r="N21">
        <v>0.01</v>
      </c>
      <c r="P21" t="s">
        <v>52</v>
      </c>
      <c r="Q21" t="str">
        <v>Transports routiers</v>
      </c>
      <c r="R21" s="20">
        <v>1.8612071257644303E-3</v>
      </c>
      <c r="S21" s="20">
        <v>3.0642152944313494E-3</v>
      </c>
    </row>
    <row r="22" spans="1:19">
      <c r="A22" s="1">
        <f t="shared" si="0"/>
        <v>45901</v>
      </c>
      <c r="B22" cm="1">
        <f t="array" ref="B22">IF(A22&lt;=DATE3,SUM(IF((INDEX(INDEX,,1)=A22)*(INDEX(INDEX,3,)="TP01"),INDEX(INDEX,,),0)),"")</f>
        <v>130.69999999999999</v>
      </c>
      <c r="C22" s="33" cm="1">
        <f t="array" ref="C22">IF(A22&lt;=DATE3,SUM(IF((INDEX(INDEX,,1)=A22)*(INDEX(INDEX,3,)=C14),INDEX(INDEX,,),0)),"")</f>
        <v>135.69999999999999</v>
      </c>
      <c r="D22" cm="1">
        <f t="array" ref="D22">IF($A22&lt;=DATE4,SUM(IF((INDEX(INDICES,,1)=$A22)*(INDEX(INDICES,5,)=D$14),INDEX(INDICES,,),0)),NA())</f>
        <v>126.8</v>
      </c>
      <c r="E22" cm="1">
        <f t="array" ref="E22">IF($A22&lt;=DATE4,SUM(IF((INDEX(INDICES,,1)=$A22)*(INDEX(INDICES,5,)=E$14),INDEX(INDICES,,),0)),NA())</f>
        <v>139.69999999999999</v>
      </c>
      <c r="F22" cm="1">
        <f t="array" ref="F22">IF($A22&lt;=DATE4,SUM(IF((INDEX(INDICES,,1)=$A22)*(INDEX(INDICES,5,)=F$14),INDEX(INDICES,,),0)),NA())</f>
        <v>145.1</v>
      </c>
      <c r="G22" cm="1">
        <f t="array" ref="G22">IF($A22&lt;=DATE4,SUM(IF((INDEX(INDICES,,1)=$A22)*(INDEX(INDICES,5,)=G$14),INDEX(INDICES,,),0)),NA())</f>
        <v>131.30000000000001</v>
      </c>
      <c r="H22" cm="1">
        <f t="array" ref="H22">IF($A22&lt;=DATE4,SUM(IF((INDEX(INDICES,,1)=$A22)*(INDEX(INDICES,5,)=H$14),INDEX(INDICES,,),0)),NA())</f>
        <v>87.7</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0.31659324522760635</v>
      </c>
      <c r="S22" s="20">
        <v>0.11775542015020557</v>
      </c>
    </row>
    <row r="23" spans="1:19">
      <c r="A23" s="1">
        <f t="shared" si="0"/>
        <v>45931</v>
      </c>
      <c r="B23" cm="1">
        <f t="array" ref="B23">IF(A23&lt;=DATE3,SUM(IF((INDEX(INDEX,,1)=A23)*(INDEX(INDEX,3,)="TP01"),INDEX(INDEX,,),0)),"")</f>
        <v>130.5</v>
      </c>
      <c r="C23" s="33" cm="1">
        <f t="array" ref="C23">IF(A23&lt;=DATE3,SUM(IF((INDEX(INDEX,,1)=A23)*(INDEX(INDEX,3,)=C14),INDEX(INDEX,,),0)),"")</f>
        <v>135.69999999999999</v>
      </c>
      <c r="D23" cm="1">
        <f t="array" ref="D23">IF($A23&lt;=DATE4,SUM(IF((INDEX(INDICES,,1)=$A23)*(INDEX(INDICES,5,)=D$14),INDEX(INDICES,,),0)),NA())</f>
        <v>126.7</v>
      </c>
      <c r="E23" cm="1">
        <f t="array" ref="E23">IF($A23&lt;=DATE4,SUM(IF((INDEX(INDICES,,1)=$A23)*(INDEX(INDICES,5,)=E$14),INDEX(INDICES,,),0)),NA())</f>
        <v>140.4</v>
      </c>
      <c r="F23" cm="1">
        <f t="array" ref="F23">IF($A23&lt;=DATE4,SUM(IF((INDEX(INDICES,,1)=$A23)*(INDEX(INDICES,5,)=F$14),INDEX(INDICES,,),0)),NA())</f>
        <v>143.4</v>
      </c>
      <c r="G23" cm="1">
        <f t="array" ref="G23">IF($A23&lt;=DATE4,SUM(IF((INDEX(INDICES,,1)=$A23)*(INDEX(INDICES,5,)=G$14),INDEX(INDICES,,),0)),NA())</f>
        <v>131.69999999999999</v>
      </c>
      <c r="H23" cm="1">
        <f t="array" ref="H23">IF($A23&lt;=DATE4,SUM(IF((INDEX(INDICES,,1)=$A23)*(INDEX(INDICES,5,)=H$14),INDEX(INDICES,,),0)),NA())</f>
        <v>86.4</v>
      </c>
      <c r="K23" t="str">
        <v>Gaz naturel</v>
      </c>
      <c r="L23" s="38">
        <v>0</v>
      </c>
      <c r="M23" t="str">
        <v>Tubes, tuyaux en matière plastique</v>
      </c>
      <c r="N23">
        <v>0.01</v>
      </c>
      <c r="P23">
        <v>10764297</v>
      </c>
      <c r="Q23" t="str">
        <v>Gaz naturel</v>
      </c>
      <c r="R23" s="20">
        <v>-2.3275862068965369E-2</v>
      </c>
      <c r="S23" s="20">
        <v>-0.15884079236977267</v>
      </c>
    </row>
    <row r="24" spans="1:19">
      <c r="A24" s="1">
        <f t="shared" si="0"/>
        <v>45962</v>
      </c>
      <c r="B24" cm="1">
        <f t="array" ref="B24">IF(A24&lt;=DATE3,SUM(IF((INDEX(INDEX,,1)=A24)*(INDEX(INDEX,3,)="TP01"),INDEX(INDEX,,),0)),"")</f>
        <v>130.80000000000001</v>
      </c>
      <c r="C24" s="33" cm="1">
        <f t="array" ref="C24">IF(A24&lt;=DATE3,SUM(IF((INDEX(INDEX,,1)=A24)*(INDEX(INDEX,3,)=C14),INDEX(INDEX,,),0)),"")</f>
        <v>135.80000000000001</v>
      </c>
      <c r="D24" cm="1">
        <f t="array" ref="D24">IF($A24&lt;=DATE4,SUM(IF((INDEX(INDICES,,1)=$A24)*(INDEX(INDICES,5,)=D$14),INDEX(INDICES,,),0)),NA())</f>
        <v>126.2</v>
      </c>
      <c r="E24" cm="1">
        <f t="array" ref="E24">IF($A24&lt;=DATE4,SUM(IF((INDEX(INDICES,,1)=$A24)*(INDEX(INDICES,5,)=E$14),INDEX(INDICES,,),0)),NA())</f>
        <v>141.1</v>
      </c>
      <c r="F24" cm="1">
        <f t="array" ref="F24">IF($A24&lt;=DATE4,SUM(IF((INDEX(INDICES,,1)=$A24)*(INDEX(INDICES,5,)=F$14),INDEX(INDICES,,),0)),NA())</f>
        <v>149.6</v>
      </c>
      <c r="G24" cm="1">
        <f t="array" ref="G24">IF($A24&lt;=DATE4,SUM(IF((INDEX(INDICES,,1)=$A24)*(INDEX(INDICES,5,)=G$14),INDEX(INDICES,,),0)),NA())</f>
        <v>131.6</v>
      </c>
      <c r="H24" cm="1">
        <f t="array" ref="H24">IF($A24&lt;=DATE4,SUM(IF((INDEX(INDICES,,1)=$A24)*(INDEX(INDICES,5,)=H$14),INDEX(INDICES,,),0)),NA())</f>
        <v>85.7</v>
      </c>
      <c r="K24" t="str">
        <v>Gazole routier HTT</v>
      </c>
      <c r="L24" s="38">
        <v>0</v>
      </c>
      <c r="M24" t="str">
        <v>Ensemble des produits du sciage</v>
      </c>
      <c r="N24">
        <v>0.01</v>
      </c>
      <c r="P24" t="s">
        <v>55</v>
      </c>
      <c r="Q24" t="str">
        <v>Gazole routier HTT</v>
      </c>
      <c r="R24" s="20">
        <v>3.9284881664805038E-3</v>
      </c>
      <c r="S24" s="20">
        <v>3.7911447581447044E-2</v>
      </c>
    </row>
    <row r="25" spans="1:19">
      <c r="A25" s="1">
        <f t="shared" si="0"/>
        <v>45992</v>
      </c>
      <c r="B25" cm="1">
        <f t="array" ref="B25">IF(A25&lt;=DATE3,SUM(IF((INDEX(INDEX,,1)=A25)*(INDEX(INDEX,3,)="TP01"),INDEX(INDEX,,),0)),"")</f>
        <v>130.30000000000001</v>
      </c>
      <c r="C25" s="33" cm="1">
        <f t="array" ref="C25">IF(A25&lt;=DATE3,SUM(IF((INDEX(INDEX,,1)=A25)*(INDEX(INDEX,3,)=C14),INDEX(INDEX,,),0)),"")</f>
        <v>136.1</v>
      </c>
      <c r="D25" cm="1">
        <f t="array" ref="D25">IF($A25&lt;=DATE4,SUM(IF((INDEX(INDICES,,1)=$A25)*(INDEX(INDICES,5,)=D$14),INDEX(INDICES,,),0)),NA())</f>
        <v>125.5</v>
      </c>
      <c r="E25" cm="1">
        <f t="array" ref="E25">IF($A25&lt;=DATE4,SUM(IF((INDEX(INDICES,,1)=$A25)*(INDEX(INDICES,5,)=E$14),INDEX(INDICES,,),0)),NA())</f>
        <v>141.80000000000001</v>
      </c>
      <c r="F25" cm="1">
        <f t="array" ref="F25">IF($A25&lt;=DATE4,SUM(IF((INDEX(INDICES,,1)=$A25)*(INDEX(INDICES,5,)=F$14),INDEX(INDICES,,),0)),NA())</f>
        <v>141.30000000000001</v>
      </c>
      <c r="G25" cm="1">
        <f t="array" ref="G25">IF($A25&lt;=DATE4,SUM(IF((INDEX(INDICES,,1)=$A25)*(INDEX(INDICES,5,)=G$14),INDEX(INDICES,,),0)),NA())</f>
        <v>131.1</v>
      </c>
      <c r="H25" cm="1">
        <f t="array" ref="H25">IF($A25&lt;=DATE4,SUM(IF((INDEX(INDICES,,1)=$A25)*(INDEX(INDICES,5,)=H$14),INDEX(INDICES,,),0)),NA())</f>
        <v>85.6</v>
      </c>
      <c r="K25" t="str">
        <v>Tubes, tuyaux en matière plastique</v>
      </c>
      <c r="L25" s="38">
        <v>0.01</v>
      </c>
      <c r="M25" t="str">
        <v>Traitement et élimination des déchets non dangereux</v>
      </c>
      <c r="N25">
        <v>0.01</v>
      </c>
      <c r="P25">
        <v>10763845</v>
      </c>
      <c r="Q25" t="str">
        <v>Tubes, tuyaux en matière plastique</v>
      </c>
      <c r="R25" s="20">
        <v>-8.2372322899505468E-3</v>
      </c>
      <c r="S25" s="20">
        <v>-9.1788231437469614E-3</v>
      </c>
    </row>
    <row r="26" spans="1:19">
      <c r="A26" s="1">
        <f t="shared" si="0"/>
        <v>46023</v>
      </c>
      <c r="B26" cm="1">
        <f t="array" ref="B26">IF(A26&lt;=DATE3,SUM(IF((INDEX(INDEX,,1)=A26)*(INDEX(INDEX,3,)="TP01"),INDEX(INDEX,,),0)),"")</f>
        <v>131.4</v>
      </c>
      <c r="C26" s="33" cm="1">
        <f t="array" ref="C26">IF(A26&lt;=DATE3,SUM(IF((INDEX(INDEX,,1)=A26)*(INDEX(INDEX,3,)=C14),INDEX(INDEX,,),0)),"")</f>
        <v>137.5</v>
      </c>
      <c r="D26" cm="1">
        <f t="array" ref="D26">IF($A26&lt;=DATE4,SUM(IF((INDEX(INDICES,,1)=$A26)*(INDEX(INDICES,5,)=D$14),INDEX(INDICES,,),0)),NA())</f>
        <v>127.6</v>
      </c>
      <c r="E26" cm="1">
        <f t="array" ref="E26">IF($A26&lt;=DATE4,SUM(IF((INDEX(INDICES,,1)=$A26)*(INDEX(INDICES,5,)=E$14),INDEX(INDICES,,),0)),NA())</f>
        <v>141.80000000000001</v>
      </c>
      <c r="F26" cm="1">
        <f t="array" ref="F26">IF($A26&lt;=DATE4,SUM(IF((INDEX(INDICES,,1)=$A26)*(INDEX(INDICES,5,)=F$14),INDEX(INDICES,,),0)),NA())</f>
        <v>150.1</v>
      </c>
      <c r="G26" cm="1">
        <f t="array" ref="G26">IF($A26&lt;=DATE4,SUM(IF((INDEX(INDICES,,1)=$A26)*(INDEX(INDICES,5,)=G$14),INDEX(INDICES,,),0)),NA())</f>
        <v>133.80000000000001</v>
      </c>
      <c r="H26" cm="1">
        <f t="array" ref="H26">IF($A26&lt;=DATE4,SUM(IF((INDEX(INDICES,,1)=$A26)*(INDEX(INDICES,5,)=H$14),INDEX(INDICES,,),0)),NA())</f>
        <v>85.5</v>
      </c>
      <c r="K26" t="str">
        <v>Ensemble des produits du sciage</v>
      </c>
      <c r="L26" s="38">
        <v>0.01</v>
      </c>
      <c r="M26" t="str">
        <v>Gazole</v>
      </c>
      <c r="N26">
        <v>0</v>
      </c>
      <c r="P26" t="s">
        <v>283</v>
      </c>
      <c r="Q26" t="str">
        <v>Ensemble des produits du sciage</v>
      </c>
      <c r="R26" s="20">
        <v>2.936857562408246E-3</v>
      </c>
      <c r="S26" s="20">
        <v>1.1269276393831573E-2</v>
      </c>
    </row>
    <row r="27" spans="1:19">
      <c r="A27" s="1">
        <f t="shared" si="0"/>
        <v>46054</v>
      </c>
      <c r="B27" cm="1">
        <f t="array" ref="B27">IF(A27&lt;=DATE3,SUM(IF((INDEX(INDEX,,1)=A27)*(INDEX(INDEX,3,)="TP01"),INDEX(INDEX,,),0)),"")</f>
        <v>132.19999999999999</v>
      </c>
      <c r="C27" s="33" cm="1">
        <f t="array" ref="C27">IF(A27&lt;=DATE3,SUM(IF((INDEX(INDEX,,1)=A27)*(INDEX(INDEX,3,)=C14),INDEX(INDEX,,),0)),"")</f>
        <v>137.5</v>
      </c>
      <c r="D27" cm="1">
        <f t="array" ref="D27">IF($A27&lt;=DATE4,SUM(IF((INDEX(INDICES,,1)=$A27)*(INDEX(INDICES,5,)=D$14),INDEX(INDICES,,),0)),NA())</f>
        <v>125.6</v>
      </c>
      <c r="E27" cm="1">
        <f t="array" ref="E27">IF($A27&lt;=DATE4,SUM(IF((INDEX(INDICES,,1)=$A27)*(INDEX(INDICES,5,)=E$14),INDEX(INDICES,,),0)),NA())</f>
        <v>141.80000000000001</v>
      </c>
      <c r="F27" cm="1">
        <f t="array" ref="F27">IF($A27&lt;=DATE4,SUM(IF((INDEX(INDICES,,1)=$A27)*(INDEX(INDICES,5,)=F$14),INDEX(INDICES,,),0)),NA())</f>
        <v>157.19999999999999</v>
      </c>
      <c r="G27" cm="1">
        <f t="array" ref="G27">IF($A27&lt;=DATE4,SUM(IF((INDEX(INDICES,,1)=$A27)*(INDEX(INDICES,5,)=G$14),INDEX(INDICES,,),0)),NA())</f>
        <v>133.19999999999999</v>
      </c>
      <c r="H27" cm="1">
        <f t="array" ref="H27">IF($A27&lt;=DATE4,SUM(IF((INDEX(INDICES,,1)=$A27)*(INDEX(INDICES,5,)=H$14),INDEX(INDICES,,),0)),NA())</f>
        <v>86.1</v>
      </c>
      <c r="K27" t="str">
        <v>Béton prêt à l'emploi</v>
      </c>
      <c r="L27" s="38">
        <v>0.12</v>
      </c>
      <c r="M27" t="str">
        <v>Travail activités spécialisées</v>
      </c>
      <c r="N27">
        <v>0</v>
      </c>
      <c r="P27">
        <v>10764180</v>
      </c>
      <c r="Q27" t="str">
        <v>Béton prêt à l'emploi</v>
      </c>
      <c r="R27" s="20">
        <v>8.8697415103902166E-3</v>
      </c>
      <c r="S27" s="20">
        <v>5.9644670050762461E-3</v>
      </c>
    </row>
    <row r="28" spans="1:19">
      <c r="A28" s="1"/>
      <c r="K28" t="str">
        <v>Barres crénelées ou nervurées pour béton armé</v>
      </c>
      <c r="L28" s="38">
        <v>0.1</v>
      </c>
      <c r="M28" t="str">
        <v>Gaz naturel</v>
      </c>
      <c r="N28">
        <v>0</v>
      </c>
      <c r="P28">
        <v>10766236</v>
      </c>
      <c r="Q28" t="str">
        <v>Barres crénelées ou nervurées pour béton armé</v>
      </c>
      <c r="R28" s="20">
        <v>-1.000769822940728E-2</v>
      </c>
      <c r="S28" s="20">
        <v>-2.9654654654654555E-2</v>
      </c>
    </row>
    <row r="29" spans="1:19">
      <c r="A29" s="1"/>
      <c r="K29" t="str">
        <v>Sables et granulats</v>
      </c>
      <c r="L29" s="38">
        <v>0</v>
      </c>
      <c r="M29" t="str">
        <v>Gazole routier HTT</v>
      </c>
      <c r="N29">
        <v>0</v>
      </c>
      <c r="P29">
        <v>10765500</v>
      </c>
      <c r="Q29" t="str">
        <v>Sables et granulats</v>
      </c>
      <c r="R29" s="20">
        <v>1.0353753235547769E-2</v>
      </c>
      <c r="S29" s="20">
        <v>3.445305770887197E-3</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-1.387574897508681E-2</v>
      </c>
      <c r="S30" s="20">
        <v>-2.2808378588052625E-2</v>
      </c>
    </row>
    <row r="31" spans="1:19">
      <c r="A31" s="1"/>
      <c r="K31" t="str">
        <v>Ciment, chaux et plâtre</v>
      </c>
      <c r="L31" s="38">
        <v>0</v>
      </c>
      <c r="M31" t="str">
        <v>Plaques, feuilles, tubes et profilés en matières plastiques</v>
      </c>
      <c r="N31">
        <v>0</v>
      </c>
      <c r="P31">
        <v>10764176</v>
      </c>
      <c r="Q31" t="str">
        <v>Ciment, chaux et plâtre</v>
      </c>
      <c r="R31" s="20">
        <v>2.9247910863509974E-2</v>
      </c>
      <c r="S31" s="20">
        <v>7.4910683415925217E-3</v>
      </c>
    </row>
    <row r="32" spans="1:19">
      <c r="A32" s="1"/>
      <c r="K32" t="str">
        <v>Autres produits chimiques</v>
      </c>
      <c r="L32" s="38">
        <v>0</v>
      </c>
      <c r="M32" t="str">
        <v>Ciment, chaux et plâtre</v>
      </c>
      <c r="N32">
        <v>0</v>
      </c>
      <c r="P32" s="169">
        <v>10764149</v>
      </c>
      <c r="Q32" t="str">
        <v>Autres produits chimiques</v>
      </c>
      <c r="R32" s="20">
        <v>3.1799938252547122E-2</v>
      </c>
      <c r="S32" s="20">
        <v>-1.5557217651458677E-2</v>
      </c>
    </row>
    <row r="33" spans="1:19">
      <c r="A33" s="1"/>
      <c r="K33" t="str">
        <v>Acier pour la construction</v>
      </c>
      <c r="L33" s="38">
        <v>0</v>
      </c>
      <c r="M33" t="str">
        <v>Autres produits chimiques</v>
      </c>
      <c r="N33">
        <v>0</v>
      </c>
      <c r="P33">
        <v>10765837</v>
      </c>
      <c r="Q33" t="str">
        <v>Acier pour la construction</v>
      </c>
      <c r="R33" s="20">
        <v>-7.7519379844964709E-3</v>
      </c>
      <c r="S33" s="20">
        <v>-2.8092922744462512E-2</v>
      </c>
    </row>
    <row r="34" spans="1:19">
      <c r="A34" s="1"/>
      <c r="K34" t="str">
        <v>Bitume</v>
      </c>
      <c r="L34" s="38">
        <v>0</v>
      </c>
      <c r="M34" t="str">
        <v>Acier pour la construction</v>
      </c>
      <c r="N34">
        <v>0</v>
      </c>
      <c r="P34">
        <v>10764136</v>
      </c>
      <c r="Q34" t="str">
        <v>Bitume</v>
      </c>
      <c r="R34" s="20">
        <v>-7.5425038639876263E-2</v>
      </c>
      <c r="S34" s="20">
        <v>-0.13323124042879009</v>
      </c>
    </row>
    <row r="35" spans="1:19">
      <c r="A35" s="1"/>
      <c r="K35" t="str">
        <v>Produits de voierie en béton</v>
      </c>
      <c r="L35" s="38">
        <v>0</v>
      </c>
      <c r="M35" t="str">
        <v>Bitume</v>
      </c>
      <c r="N35">
        <v>0</v>
      </c>
      <c r="P35">
        <v>10763871</v>
      </c>
      <c r="Q35" t="str">
        <v>Produits de voierie en béton</v>
      </c>
      <c r="R35" s="20">
        <v>-2.1238485158648901E-2</v>
      </c>
      <c r="S35" s="20">
        <v>-1.7782293915915348E-2</v>
      </c>
    </row>
    <row r="36" spans="1:19">
      <c r="A36" s="1"/>
      <c r="K36" t="str">
        <v>Mortiers et bétons secs</v>
      </c>
      <c r="L36" s="38">
        <v>0</v>
      </c>
      <c r="M36" t="str">
        <v>Produits de voierie en béton</v>
      </c>
      <c r="N36">
        <v>0</v>
      </c>
      <c r="P36">
        <v>10764181</v>
      </c>
      <c r="Q36" t="str">
        <v>Mortiers et bétons secs</v>
      </c>
      <c r="R36" s="20">
        <v>-4.9562682215744669E-3</v>
      </c>
      <c r="S36" s="20">
        <v>-2.3327015599939882E-3</v>
      </c>
    </row>
    <row r="37" spans="1:19">
      <c r="A37" s="1"/>
      <c r="K37" t="str">
        <v>Travaux de fonderie de fonte</v>
      </c>
      <c r="L37" s="38">
        <v>0</v>
      </c>
      <c r="M37" t="str">
        <v>Mortiers et bétons secs</v>
      </c>
      <c r="N37">
        <v>0</v>
      </c>
      <c r="P37">
        <v>10764195</v>
      </c>
      <c r="Q37" t="str">
        <v>Travaux de fonderie de fonte</v>
      </c>
      <c r="R37" s="20">
        <v>-2.6021337496751062E-4</v>
      </c>
      <c r="S37" s="20">
        <v>-1.2083815400437015E-2</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-1.0981141083790891E-2</v>
      </c>
      <c r="S38" s="20">
        <v>-5.2531041069724393E-3</v>
      </c>
    </row>
    <row r="39" spans="1:19">
      <c r="A39" s="1"/>
      <c r="K39" t="str">
        <v>Réseaux d’assainissement</v>
      </c>
      <c r="L39" s="38">
        <v>0</v>
      </c>
      <c r="M39" t="str">
        <v>Tuiles, briques et produits de construction en terre cuite</v>
      </c>
      <c r="N39">
        <v>0</v>
      </c>
      <c r="P39">
        <v>10766292</v>
      </c>
      <c r="Q39" t="str">
        <v>Réseaux d’assainissement</v>
      </c>
      <c r="R39" s="20">
        <v>6.030414263240802E-3</v>
      </c>
      <c r="S39" s="20">
        <v>-1.556870818322198E-2</v>
      </c>
    </row>
    <row r="40" spans="1:19">
      <c r="A40" s="1"/>
      <c r="K40" t="str">
        <v>Autres textiles</v>
      </c>
      <c r="L40" s="38">
        <v>0</v>
      </c>
      <c r="M40" t="str">
        <v>Réseaux d’assainissement</v>
      </c>
      <c r="N40">
        <v>0</v>
      </c>
      <c r="P40">
        <v>10764101</v>
      </c>
      <c r="Q40" t="str">
        <v>Autres textiles</v>
      </c>
      <c r="R40" s="20">
        <v>1.1139674378748854E-2</v>
      </c>
      <c r="S40" s="20">
        <v>1.0331467929401761E-2</v>
      </c>
    </row>
    <row r="41" spans="1:19">
      <c r="A41" s="1"/>
      <c r="K41" t="str">
        <v>Matières plastiques sous formes primaires</v>
      </c>
      <c r="L41" s="38">
        <v>0</v>
      </c>
      <c r="M41" t="str">
        <v>Autres textiles</v>
      </c>
      <c r="N41">
        <v>0</v>
      </c>
      <c r="P41">
        <v>10764143</v>
      </c>
      <c r="Q41" t="str">
        <v>Matières plastiques sous formes primaires</v>
      </c>
      <c r="R41" s="20">
        <v>-3.6204268292682862E-2</v>
      </c>
      <c r="S41" s="20">
        <v>-7.0023461469049031E-2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-1.4484831921289798E-2</v>
      </c>
      <c r="S42" s="20">
        <v>9.6445301736025613E-4</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8.7694483734088724E-3</v>
      </c>
      <c r="S43" s="20">
        <v>-6.7142257658413529E-3</v>
      </c>
    </row>
    <row r="44" spans="1:19">
      <c r="A44" s="1"/>
      <c r="K44" t="str">
        <v>Fils et câbles d'énergie</v>
      </c>
      <c r="L44" s="38">
        <v>0</v>
      </c>
      <c r="M44" t="str">
        <v>Éléments en béton pour la construction</v>
      </c>
      <c r="N44">
        <v>0</v>
      </c>
      <c r="P44">
        <v>10763930</v>
      </c>
      <c r="Q44" t="str">
        <v>Fils et câbles d'énergie</v>
      </c>
      <c r="R44" s="20">
        <v>8.0321285140563248E-3</v>
      </c>
      <c r="S44" s="20">
        <v>-1.6651370132424348E-2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3.6814835014998826E-2</v>
      </c>
      <c r="S45" s="20">
        <v>4.5639087218255714E-2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5.3840063341251021E-2</v>
      </c>
      <c r="S46" s="20">
        <v>6.9102898749828334E-2</v>
      </c>
    </row>
    <row r="47" spans="1:19">
      <c r="A47" s="1"/>
      <c r="K47" t="str">
        <v>Appareils d'éclairage électrique</v>
      </c>
      <c r="L47" s="38">
        <v>0</v>
      </c>
      <c r="M47" t="str">
        <v>Matériel de distribution et de commande électrique</v>
      </c>
      <c r="N47">
        <v>0</v>
      </c>
      <c r="P47">
        <v>10764228</v>
      </c>
      <c r="Q47" t="str">
        <v>Appareils d'éclairage électrique</v>
      </c>
      <c r="R47" s="20">
        <v>-9.0568394753279824E-3</v>
      </c>
      <c r="S47" s="20">
        <v>-1.1627906976744318E-2</v>
      </c>
    </row>
    <row r="48" spans="1:19">
      <c r="A48" s="1"/>
      <c r="E48" s="42"/>
      <c r="K48" t="str">
        <v>Câbles de fibres optiques</v>
      </c>
      <c r="L48" s="38">
        <v>0</v>
      </c>
      <c r="M48" t="str">
        <v>Appareils d'éclairage électrique</v>
      </c>
      <c r="N48">
        <v>0</v>
      </c>
      <c r="P48">
        <v>10764834</v>
      </c>
      <c r="Q48" t="str">
        <v>Câbles de fibres optiques</v>
      </c>
      <c r="R48" s="20">
        <v>8.0677692617991958E-4</v>
      </c>
      <c r="S48" s="20">
        <v>-1.3916500994035741E-2</v>
      </c>
    </row>
    <row r="49" spans="1:19">
      <c r="A49" s="1"/>
      <c r="E49" s="42"/>
      <c r="K49" t="str">
        <v>Peintures Industries</v>
      </c>
      <c r="L49" s="38">
        <v>0</v>
      </c>
      <c r="M49" t="str">
        <v>Câbles de fibres optiques</v>
      </c>
      <c r="N49">
        <v>0</v>
      </c>
      <c r="P49">
        <v>10763825</v>
      </c>
      <c r="Q49" t="str">
        <v>Peintures Industries</v>
      </c>
      <c r="R49" s="20">
        <v>-1.3013013013012942E-2</v>
      </c>
      <c r="S49" s="20">
        <v>-3.0643389085581729E-2</v>
      </c>
    </row>
    <row r="50" spans="1:19">
      <c r="A50" s="1"/>
      <c r="E50" s="42"/>
      <c r="K50" t="str">
        <v>Produits sidérurgiques en acier non allié</v>
      </c>
      <c r="L50" s="38">
        <v>0</v>
      </c>
      <c r="M50" t="str">
        <v>Peintures Industries</v>
      </c>
      <c r="N50">
        <v>0</v>
      </c>
      <c r="P50">
        <v>10763881</v>
      </c>
      <c r="Q50" t="str">
        <v>Produits sidérurgiques en acier non allié</v>
      </c>
      <c r="R50" s="20">
        <v>1.8633540372670732E-2</v>
      </c>
      <c r="S50" s="20">
        <v>-2.1950787750044221E-2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4.1141897565071472E-2</v>
      </c>
      <c r="S51" s="20">
        <v>-9.9776013031971367E-3</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8.4674005080453973E-4</v>
      </c>
      <c r="S52" s="20">
        <v>-2.1114864864865135E-3</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2.6463262764632844E-2</v>
      </c>
      <c r="S53" s="20">
        <v>-9.5861229458309438E-3</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2026-04-20T09:28:26Z</dcterms:modified>
</cp:coreProperties>
</file>